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5\UserData\ОКС\3 Реконструкция ПС 110 Вернинская\2022\Корректировка на 16.02.22\"/>
    </mc:Choice>
  </mc:AlternateContent>
  <bookViews>
    <workbookView xWindow="0" yWindow="0" windowWidth="24780" windowHeight="9315" tabRatio="921"/>
  </bookViews>
  <sheets>
    <sheet name="График СМР" sheetId="55" r:id="rId1"/>
    <sheet name="Сух Лог_СЭС_ожид_2021" sheetId="35" state="hidden" r:id="rId2"/>
    <sheet name="Сух Лог_Суб_2021_план" sheetId="32" state="hidden" r:id="rId3"/>
    <sheet name="Сух Лог_ВЭ_2021_план" sheetId="33" state="hidden" r:id="rId4"/>
    <sheet name="Дяля" sheetId="28" state="hidden" r:id="rId5"/>
  </sheets>
  <externalReferences>
    <externalReference r:id="rId6"/>
    <externalReference r:id="rId7"/>
    <externalReference r:id="rId8"/>
  </externalReferences>
  <calcPr calcId="162913"/>
</workbook>
</file>

<file path=xl/calcChain.xml><?xml version="1.0" encoding="utf-8"?>
<calcChain xmlns="http://schemas.openxmlformats.org/spreadsheetml/2006/main">
  <c r="E124" i="55" l="1"/>
  <c r="E125" i="55" s="1"/>
  <c r="U122" i="55"/>
  <c r="H120" i="55"/>
  <c r="R119" i="55"/>
  <c r="L119" i="55"/>
  <c r="K119" i="55"/>
  <c r="J119" i="55"/>
  <c r="H119" i="55"/>
  <c r="G119" i="55"/>
  <c r="F119" i="55"/>
  <c r="E119" i="55"/>
  <c r="E127" i="55" s="1"/>
  <c r="D119" i="55"/>
  <c r="D120" i="55"/>
  <c r="AM117" i="55"/>
  <c r="AM115" i="55"/>
  <c r="AM113" i="55"/>
  <c r="AM110" i="55"/>
  <c r="AM108" i="55"/>
  <c r="Q119" i="55"/>
  <c r="U119" i="55"/>
  <c r="T119" i="55"/>
  <c r="O119" i="55"/>
  <c r="N119" i="55"/>
  <c r="S119" i="55"/>
  <c r="I119" i="55"/>
  <c r="P119" i="55"/>
  <c r="AM119" i="55"/>
  <c r="M119" i="55"/>
  <c r="Y78" i="35"/>
  <c r="X75" i="35"/>
  <c r="X78" i="35"/>
  <c r="X34" i="35"/>
  <c r="W69" i="35"/>
  <c r="W114" i="35"/>
  <c r="V114" i="35"/>
  <c r="O114" i="35"/>
  <c r="N114" i="35"/>
  <c r="I114" i="35"/>
  <c r="AB113" i="35"/>
  <c r="AA113" i="35"/>
  <c r="AA114" i="35"/>
  <c r="Z113" i="35"/>
  <c r="Z114" i="35"/>
  <c r="Y113" i="35"/>
  <c r="X113" i="35"/>
  <c r="W113" i="35"/>
  <c r="V113" i="35"/>
  <c r="U113" i="35"/>
  <c r="T113" i="35"/>
  <c r="S113" i="35"/>
  <c r="S114" i="35"/>
  <c r="R113" i="35"/>
  <c r="R114" i="35"/>
  <c r="Q113" i="35"/>
  <c r="P113" i="35"/>
  <c r="O113" i="35"/>
  <c r="N113" i="35"/>
  <c r="M113" i="35"/>
  <c r="L113" i="35"/>
  <c r="K113" i="35"/>
  <c r="S112" i="35"/>
  <c r="R112" i="35"/>
  <c r="I112" i="35"/>
  <c r="AB111" i="35"/>
  <c r="AA111" i="35"/>
  <c r="AA112" i="35"/>
  <c r="Z111" i="35"/>
  <c r="Z112" i="35"/>
  <c r="Y111" i="35"/>
  <c r="X111" i="35"/>
  <c r="J111" i="35"/>
  <c r="W111" i="35"/>
  <c r="W112" i="35"/>
  <c r="V111" i="35"/>
  <c r="V112" i="35"/>
  <c r="U111" i="35"/>
  <c r="T111" i="35"/>
  <c r="S111" i="35"/>
  <c r="R111" i="35"/>
  <c r="Q111" i="35"/>
  <c r="P111" i="35"/>
  <c r="O111" i="35"/>
  <c r="O112" i="35"/>
  <c r="N111" i="35"/>
  <c r="N112" i="35"/>
  <c r="M111" i="35"/>
  <c r="L111" i="35"/>
  <c r="K111" i="35"/>
  <c r="W110" i="35"/>
  <c r="V110" i="35"/>
  <c r="O110" i="35"/>
  <c r="N110" i="35"/>
  <c r="I110" i="35"/>
  <c r="AB109" i="35"/>
  <c r="AA109" i="35"/>
  <c r="AA110" i="35"/>
  <c r="Z109" i="35"/>
  <c r="Z110" i="35"/>
  <c r="Y109" i="35"/>
  <c r="X109" i="35"/>
  <c r="W109" i="35"/>
  <c r="V109" i="35"/>
  <c r="U109" i="35"/>
  <c r="T109" i="35"/>
  <c r="S109" i="35"/>
  <c r="S110" i="35"/>
  <c r="R109" i="35"/>
  <c r="R110" i="35"/>
  <c r="Q109" i="35"/>
  <c r="P109" i="35"/>
  <c r="O109" i="35"/>
  <c r="N109" i="35"/>
  <c r="M109" i="35"/>
  <c r="L109" i="35"/>
  <c r="K109" i="35"/>
  <c r="Z108" i="35"/>
  <c r="V108" i="35"/>
  <c r="R108" i="35"/>
  <c r="N108" i="35"/>
  <c r="I108" i="35"/>
  <c r="AB107" i="35"/>
  <c r="AA107" i="35"/>
  <c r="AA108" i="35"/>
  <c r="Z107" i="35"/>
  <c r="Y107" i="35"/>
  <c r="X107" i="35"/>
  <c r="W107" i="35"/>
  <c r="W108" i="35"/>
  <c r="V107" i="35"/>
  <c r="U107" i="35"/>
  <c r="T107" i="35"/>
  <c r="S107" i="35"/>
  <c r="S108" i="35"/>
  <c r="R107" i="35"/>
  <c r="Q107" i="35"/>
  <c r="P107" i="35"/>
  <c r="O107" i="35"/>
  <c r="O108" i="35"/>
  <c r="N107" i="35"/>
  <c r="M107" i="35"/>
  <c r="L107" i="35"/>
  <c r="K107" i="35"/>
  <c r="AB106" i="35"/>
  <c r="Y106" i="35"/>
  <c r="X106" i="35"/>
  <c r="U106" i="35"/>
  <c r="T106" i="35"/>
  <c r="O106" i="35"/>
  <c r="L106" i="35"/>
  <c r="K106" i="35"/>
  <c r="I106" i="35"/>
  <c r="AA106" i="35"/>
  <c r="S105" i="35"/>
  <c r="Q105" i="35"/>
  <c r="O105" i="35"/>
  <c r="N105" i="35"/>
  <c r="M105" i="35"/>
  <c r="L105" i="35"/>
  <c r="K105" i="35"/>
  <c r="Z104" i="35"/>
  <c r="V104" i="35"/>
  <c r="R104" i="35"/>
  <c r="N104" i="35"/>
  <c r="AB103" i="35"/>
  <c r="AB104" i="35"/>
  <c r="AA103" i="35"/>
  <c r="AA104" i="35"/>
  <c r="Z103" i="35"/>
  <c r="Y103" i="35"/>
  <c r="Y104" i="35"/>
  <c r="X103" i="35"/>
  <c r="X104" i="35"/>
  <c r="W103" i="35"/>
  <c r="W104" i="35"/>
  <c r="V103" i="35"/>
  <c r="U103" i="35"/>
  <c r="U104" i="35"/>
  <c r="T103" i="35"/>
  <c r="T104" i="35"/>
  <c r="S103" i="35"/>
  <c r="S104" i="35"/>
  <c r="R103" i="35"/>
  <c r="Q103" i="35"/>
  <c r="Q104" i="35"/>
  <c r="P103" i="35"/>
  <c r="P104" i="35"/>
  <c r="O103" i="35"/>
  <c r="O104" i="35"/>
  <c r="N103" i="35"/>
  <c r="M103" i="35"/>
  <c r="M104" i="35"/>
  <c r="L103" i="35"/>
  <c r="L104" i="35"/>
  <c r="K103" i="35"/>
  <c r="K104" i="35"/>
  <c r="AB102" i="35"/>
  <c r="U102" i="35"/>
  <c r="T102" i="35"/>
  <c r="M102" i="35"/>
  <c r="L102" i="35"/>
  <c r="I102" i="35"/>
  <c r="AB101" i="35"/>
  <c r="AA101" i="35"/>
  <c r="Z101" i="35"/>
  <c r="Y101" i="35"/>
  <c r="X101" i="35"/>
  <c r="X102" i="35"/>
  <c r="W101" i="35"/>
  <c r="V101" i="35"/>
  <c r="U101" i="35"/>
  <c r="T101" i="35"/>
  <c r="S101" i="35"/>
  <c r="R101" i="35"/>
  <c r="Q101" i="35"/>
  <c r="P101" i="35"/>
  <c r="P102" i="35"/>
  <c r="O101" i="35"/>
  <c r="N101" i="35"/>
  <c r="M101" i="35"/>
  <c r="L101" i="35"/>
  <c r="J101" i="35"/>
  <c r="K101" i="35"/>
  <c r="U100" i="35"/>
  <c r="M100" i="35"/>
  <c r="I100" i="35"/>
  <c r="AB99" i="35"/>
  <c r="AA99" i="35"/>
  <c r="Z99" i="35"/>
  <c r="Y99" i="35"/>
  <c r="X99" i="35"/>
  <c r="X100" i="35"/>
  <c r="W99" i="35"/>
  <c r="V99" i="35"/>
  <c r="U99" i="35"/>
  <c r="T99" i="35"/>
  <c r="S99" i="35"/>
  <c r="R99" i="35"/>
  <c r="Q99" i="35"/>
  <c r="P99" i="35"/>
  <c r="P100" i="35"/>
  <c r="O99" i="35"/>
  <c r="N99" i="35"/>
  <c r="M99" i="35"/>
  <c r="L99" i="35"/>
  <c r="K99" i="35"/>
  <c r="R98" i="35"/>
  <c r="I98" i="35"/>
  <c r="S97" i="35"/>
  <c r="Q97" i="35"/>
  <c r="O97" i="35"/>
  <c r="N97" i="35"/>
  <c r="M97" i="35"/>
  <c r="L97" i="35"/>
  <c r="K97" i="35"/>
  <c r="AB87" i="35"/>
  <c r="M87" i="35"/>
  <c r="L87" i="35"/>
  <c r="K87" i="35"/>
  <c r="I87" i="35"/>
  <c r="AB86" i="35"/>
  <c r="M86" i="35"/>
  <c r="L86" i="35"/>
  <c r="K86" i="35"/>
  <c r="AB85" i="35"/>
  <c r="S85" i="35"/>
  <c r="M85" i="35"/>
  <c r="L85" i="35"/>
  <c r="K85" i="35"/>
  <c r="M84" i="35"/>
  <c r="L84" i="35"/>
  <c r="K84" i="35"/>
  <c r="I84" i="35"/>
  <c r="O80" i="35"/>
  <c r="O81" i="35"/>
  <c r="O79" i="35"/>
  <c r="W78" i="35"/>
  <c r="L78" i="35"/>
  <c r="K77" i="35"/>
  <c r="M75" i="35"/>
  <c r="M78" i="35"/>
  <c r="AF73" i="35"/>
  <c r="AC73" i="35"/>
  <c r="M73" i="35"/>
  <c r="M76" i="35"/>
  <c r="L73" i="35"/>
  <c r="L76" i="35"/>
  <c r="K73" i="35"/>
  <c r="K76" i="35"/>
  <c r="K78" i="35"/>
  <c r="E72" i="35"/>
  <c r="P71" i="35"/>
  <c r="J71" i="35"/>
  <c r="I71" i="35"/>
  <c r="T70" i="35"/>
  <c r="I70" i="35"/>
  <c r="U70" i="35"/>
  <c r="E70" i="35"/>
  <c r="P69" i="35"/>
  <c r="I68" i="35"/>
  <c r="E68" i="35"/>
  <c r="J67" i="35"/>
  <c r="I67" i="35"/>
  <c r="AJ66" i="35"/>
  <c r="T66" i="35"/>
  <c r="E66" i="35"/>
  <c r="J65" i="35"/>
  <c r="I65" i="35"/>
  <c r="I64" i="35"/>
  <c r="E64" i="35"/>
  <c r="J63" i="35"/>
  <c r="I63" i="35"/>
  <c r="AJ62" i="35"/>
  <c r="AI62" i="35"/>
  <c r="AI73" i="35"/>
  <c r="AA62" i="35"/>
  <c r="Y62" i="35"/>
  <c r="X62" i="35"/>
  <c r="W62" i="35"/>
  <c r="U62" i="35"/>
  <c r="T62" i="35"/>
  <c r="I62" i="35"/>
  <c r="Z62" i="35"/>
  <c r="E62" i="35"/>
  <c r="J61" i="35"/>
  <c r="I61" i="35"/>
  <c r="Z60" i="35"/>
  <c r="Y60" i="35"/>
  <c r="X60" i="35"/>
  <c r="V60" i="35"/>
  <c r="U60" i="35"/>
  <c r="I60" i="35"/>
  <c r="AA60" i="35"/>
  <c r="J59" i="35"/>
  <c r="I59" i="35"/>
  <c r="E59" i="35"/>
  <c r="J58" i="35"/>
  <c r="AJ57" i="35"/>
  <c r="AA57" i="35"/>
  <c r="Z57" i="35"/>
  <c r="X57" i="35"/>
  <c r="W57" i="35"/>
  <c r="V57" i="35"/>
  <c r="T57" i="35"/>
  <c r="S57" i="35"/>
  <c r="R57" i="35"/>
  <c r="O57" i="35"/>
  <c r="I57" i="35"/>
  <c r="Y57" i="35"/>
  <c r="P56" i="35"/>
  <c r="P57" i="35"/>
  <c r="I56" i="35"/>
  <c r="E56" i="35"/>
  <c r="J55" i="35"/>
  <c r="AG54" i="35"/>
  <c r="Z54" i="35"/>
  <c r="Y54" i="35"/>
  <c r="V54" i="35"/>
  <c r="U54" i="35"/>
  <c r="T54" i="35"/>
  <c r="I54" i="35"/>
  <c r="J53" i="35"/>
  <c r="I53" i="35"/>
  <c r="E53" i="35"/>
  <c r="AJ52" i="35"/>
  <c r="AG52" i="35"/>
  <c r="AA52" i="35"/>
  <c r="Y52" i="35"/>
  <c r="X52" i="35"/>
  <c r="W52" i="35"/>
  <c r="U52" i="35"/>
  <c r="T52" i="35"/>
  <c r="I52" i="35"/>
  <c r="Z52" i="35"/>
  <c r="J51" i="35"/>
  <c r="I51" i="35"/>
  <c r="E51" i="35"/>
  <c r="J50" i="35"/>
  <c r="AJ49" i="35"/>
  <c r="W49" i="35"/>
  <c r="I49" i="35"/>
  <c r="J48" i="35"/>
  <c r="I48" i="35"/>
  <c r="E48" i="35"/>
  <c r="AG47" i="35"/>
  <c r="V47" i="35"/>
  <c r="I47" i="35"/>
  <c r="J46" i="35"/>
  <c r="I46" i="35"/>
  <c r="E46" i="35"/>
  <c r="AA45" i="35"/>
  <c r="V45" i="35"/>
  <c r="I45" i="35"/>
  <c r="J44" i="35"/>
  <c r="I44" i="35"/>
  <c r="E44" i="35"/>
  <c r="I43" i="35"/>
  <c r="J42" i="35"/>
  <c r="I42" i="35"/>
  <c r="E42" i="35"/>
  <c r="AJ41" i="35"/>
  <c r="AG41" i="35"/>
  <c r="Z41" i="35"/>
  <c r="Y41" i="35"/>
  <c r="V41" i="35"/>
  <c r="U41" i="35"/>
  <c r="R41" i="35"/>
  <c r="Q41" i="35"/>
  <c r="I41" i="35"/>
  <c r="X41" i="35"/>
  <c r="J40" i="35"/>
  <c r="I40" i="35"/>
  <c r="E40" i="35"/>
  <c r="Z39" i="35"/>
  <c r="V39" i="35"/>
  <c r="R39" i="35"/>
  <c r="I39" i="35"/>
  <c r="Y39" i="35"/>
  <c r="J38" i="35"/>
  <c r="I38" i="35"/>
  <c r="E38" i="35"/>
  <c r="AJ37" i="35"/>
  <c r="Y37" i="35"/>
  <c r="X37" i="35"/>
  <c r="U37" i="35"/>
  <c r="T37" i="35"/>
  <c r="Q37" i="35"/>
  <c r="P37" i="35"/>
  <c r="I37" i="35"/>
  <c r="AA37" i="35"/>
  <c r="P36" i="35"/>
  <c r="I36" i="35"/>
  <c r="J36" i="35"/>
  <c r="E36" i="35"/>
  <c r="AJ35" i="35"/>
  <c r="AG35" i="35"/>
  <c r="Z35" i="35"/>
  <c r="Y35" i="35"/>
  <c r="V35" i="35"/>
  <c r="T35" i="35"/>
  <c r="T34" i="35"/>
  <c r="J34" i="35"/>
  <c r="R35" i="35"/>
  <c r="O35" i="35"/>
  <c r="O85" i="35"/>
  <c r="I35" i="35"/>
  <c r="W34" i="35"/>
  <c r="V34" i="35"/>
  <c r="U34" i="35"/>
  <c r="P34" i="35"/>
  <c r="P105" i="35"/>
  <c r="P106" i="35"/>
  <c r="I34" i="35"/>
  <c r="E34" i="35"/>
  <c r="AG33" i="35"/>
  <c r="AA33" i="35"/>
  <c r="U33" i="35"/>
  <c r="U32" i="35"/>
  <c r="T33" i="35"/>
  <c r="T32" i="35"/>
  <c r="O33" i="35"/>
  <c r="I33" i="35"/>
  <c r="Z33" i="35"/>
  <c r="W32" i="35"/>
  <c r="V32" i="35"/>
  <c r="R32" i="35"/>
  <c r="P32" i="35"/>
  <c r="E32" i="35"/>
  <c r="J31" i="35"/>
  <c r="AB30" i="35"/>
  <c r="AA30" i="35"/>
  <c r="T30" i="35"/>
  <c r="S30" i="35"/>
  <c r="O30" i="35"/>
  <c r="I30" i="35"/>
  <c r="W30" i="35"/>
  <c r="T29" i="35"/>
  <c r="Q29" i="35"/>
  <c r="P29" i="35"/>
  <c r="E29" i="35"/>
  <c r="AA28" i="35"/>
  <c r="W28" i="35"/>
  <c r="V28" i="35"/>
  <c r="T28" i="35"/>
  <c r="S28" i="35"/>
  <c r="I28" i="35"/>
  <c r="AJ28" i="35"/>
  <c r="J27" i="35"/>
  <c r="I27" i="35"/>
  <c r="E27" i="35"/>
  <c r="AG26" i="35"/>
  <c r="X26" i="35"/>
  <c r="T26" i="35"/>
  <c r="P26" i="35"/>
  <c r="I26" i="35"/>
  <c r="P25" i="35"/>
  <c r="J25" i="35"/>
  <c r="E25" i="35"/>
  <c r="I23" i="35"/>
  <c r="I66" i="35"/>
  <c r="X66" i="35"/>
  <c r="AB113" i="33"/>
  <c r="M113" i="33"/>
  <c r="L113" i="33"/>
  <c r="K113" i="33"/>
  <c r="AB112" i="33"/>
  <c r="Z112" i="33"/>
  <c r="S112" i="33"/>
  <c r="R112" i="33"/>
  <c r="Q112" i="33"/>
  <c r="M112" i="33"/>
  <c r="L112" i="33"/>
  <c r="K112" i="33"/>
  <c r="AB111" i="33"/>
  <c r="M111" i="33"/>
  <c r="L111" i="33"/>
  <c r="K111" i="33"/>
  <c r="AB110" i="33"/>
  <c r="R110" i="33"/>
  <c r="M110" i="33"/>
  <c r="L110" i="33"/>
  <c r="K110" i="33"/>
  <c r="I110" i="33"/>
  <c r="AB109" i="33"/>
  <c r="M109" i="33"/>
  <c r="L109" i="33"/>
  <c r="K109" i="33"/>
  <c r="AB108" i="33"/>
  <c r="V108" i="33"/>
  <c r="R108" i="33"/>
  <c r="Q108" i="33"/>
  <c r="P108" i="33"/>
  <c r="O108" i="33"/>
  <c r="N108" i="33"/>
  <c r="M108" i="33"/>
  <c r="L108" i="33"/>
  <c r="K108" i="33"/>
  <c r="AB107" i="33"/>
  <c r="AA107" i="33"/>
  <c r="M107" i="33"/>
  <c r="L107" i="33"/>
  <c r="K107" i="33"/>
  <c r="I107" i="33"/>
  <c r="AB106" i="33"/>
  <c r="R106" i="33"/>
  <c r="M106" i="33"/>
  <c r="L106" i="33"/>
  <c r="K106" i="33"/>
  <c r="AB105" i="33"/>
  <c r="M105" i="33"/>
  <c r="L105" i="33"/>
  <c r="K105" i="33"/>
  <c r="X102" i="33"/>
  <c r="L102" i="33"/>
  <c r="X101" i="33"/>
  <c r="W101" i="33"/>
  <c r="L101" i="33"/>
  <c r="X100" i="33"/>
  <c r="W100" i="33"/>
  <c r="W102" i="33"/>
  <c r="V100" i="33"/>
  <c r="L100" i="33"/>
  <c r="M98" i="33"/>
  <c r="M97" i="33"/>
  <c r="K98" i="33"/>
  <c r="K97" i="33"/>
  <c r="AM95" i="33"/>
  <c r="AN95" i="33"/>
  <c r="AK95" i="33"/>
  <c r="AE95" i="33"/>
  <c r="AD95" i="33"/>
  <c r="AB95" i="33"/>
  <c r="M95" i="33"/>
  <c r="L95" i="33"/>
  <c r="L98" i="33"/>
  <c r="T94" i="33"/>
  <c r="T113" i="33"/>
  <c r="I94" i="33"/>
  <c r="X94" i="33"/>
  <c r="X113" i="33"/>
  <c r="E94" i="33"/>
  <c r="AA93" i="33"/>
  <c r="P93" i="33"/>
  <c r="AK92" i="33"/>
  <c r="AN92" i="33"/>
  <c r="Z92" i="33"/>
  <c r="Y92" i="33"/>
  <c r="Y112" i="33"/>
  <c r="V92" i="33"/>
  <c r="V112" i="33"/>
  <c r="U92" i="33"/>
  <c r="O92" i="33"/>
  <c r="O112" i="33"/>
  <c r="N92" i="33"/>
  <c r="I92" i="33"/>
  <c r="I112" i="33"/>
  <c r="E92" i="33"/>
  <c r="J91" i="33"/>
  <c r="I91" i="33"/>
  <c r="AN90" i="33"/>
  <c r="AK90" i="33"/>
  <c r="AA90" i="33"/>
  <c r="Z90" i="33"/>
  <c r="W90" i="33"/>
  <c r="V90" i="33"/>
  <c r="S90" i="33"/>
  <c r="R90" i="33"/>
  <c r="R111" i="33"/>
  <c r="O90" i="33"/>
  <c r="O111" i="33"/>
  <c r="N90" i="33"/>
  <c r="I90" i="33"/>
  <c r="Y90" i="33"/>
  <c r="E90" i="33"/>
  <c r="AA89" i="33"/>
  <c r="P89" i="33"/>
  <c r="AK88" i="33"/>
  <c r="AN88" i="33"/>
  <c r="AI88" i="33"/>
  <c r="Y88" i="33"/>
  <c r="X88" i="33"/>
  <c r="U88" i="33"/>
  <c r="T88" i="33"/>
  <c r="I88" i="33"/>
  <c r="AA88" i="33"/>
  <c r="E88" i="33"/>
  <c r="J87" i="33"/>
  <c r="I87" i="33"/>
  <c r="AN86" i="33"/>
  <c r="AK86" i="33"/>
  <c r="AI86" i="33"/>
  <c r="AA86" i="33"/>
  <c r="AA110" i="33"/>
  <c r="Z86" i="33"/>
  <c r="Y86" i="33"/>
  <c r="X86" i="33"/>
  <c r="W86" i="33"/>
  <c r="V86" i="33"/>
  <c r="U86" i="33"/>
  <c r="T86" i="33"/>
  <c r="S86" i="33"/>
  <c r="E86" i="33"/>
  <c r="J85" i="33"/>
  <c r="I85" i="33"/>
  <c r="AK84" i="33"/>
  <c r="AN84" i="33"/>
  <c r="AI84" i="33"/>
  <c r="AA84" i="33"/>
  <c r="Z84" i="33"/>
  <c r="Y84" i="33"/>
  <c r="X84" i="33"/>
  <c r="W84" i="33"/>
  <c r="V84" i="33"/>
  <c r="U84" i="33"/>
  <c r="T84" i="33"/>
  <c r="S84" i="33"/>
  <c r="E84" i="33"/>
  <c r="J83" i="33"/>
  <c r="I83" i="33"/>
  <c r="AK82" i="33"/>
  <c r="AN82" i="33"/>
  <c r="J82" i="33"/>
  <c r="I82" i="33"/>
  <c r="AI82" i="33"/>
  <c r="AN81" i="33"/>
  <c r="AK81" i="33"/>
  <c r="AI81" i="33"/>
  <c r="J81" i="33"/>
  <c r="I81" i="33"/>
  <c r="AK80" i="33"/>
  <c r="AN80" i="33"/>
  <c r="AI80" i="33"/>
  <c r="J80" i="33"/>
  <c r="I80" i="33"/>
  <c r="AK79" i="33"/>
  <c r="AN79" i="33"/>
  <c r="J79" i="33"/>
  <c r="I79" i="33"/>
  <c r="AI79" i="33"/>
  <c r="AN78" i="33"/>
  <c r="AK78" i="33"/>
  <c r="J78" i="33"/>
  <c r="I78" i="33"/>
  <c r="AI78" i="33"/>
  <c r="E78" i="33"/>
  <c r="AK77" i="33"/>
  <c r="AN77" i="33"/>
  <c r="AI77" i="33"/>
  <c r="J77" i="33"/>
  <c r="I77" i="33"/>
  <c r="AK76" i="33"/>
  <c r="AN76" i="33"/>
  <c r="J76" i="33"/>
  <c r="I76" i="33"/>
  <c r="AI76" i="33"/>
  <c r="E76" i="33"/>
  <c r="AN75" i="33"/>
  <c r="AK75" i="33"/>
  <c r="AI75" i="33"/>
  <c r="J75" i="33"/>
  <c r="I75" i="33"/>
  <c r="E75" i="33"/>
  <c r="AK74" i="33"/>
  <c r="AN74" i="33"/>
  <c r="J74" i="33"/>
  <c r="I74" i="33"/>
  <c r="AI74" i="33"/>
  <c r="E74" i="33"/>
  <c r="AN73" i="33"/>
  <c r="AK73" i="33"/>
  <c r="AI73" i="33"/>
  <c r="J73" i="33"/>
  <c r="I73" i="33"/>
  <c r="E73" i="33"/>
  <c r="AK72" i="33"/>
  <c r="AN72" i="33"/>
  <c r="J72" i="33"/>
  <c r="I72" i="33"/>
  <c r="AI72" i="33"/>
  <c r="E72" i="33"/>
  <c r="AN71" i="33"/>
  <c r="AK71" i="33"/>
  <c r="AI71" i="33"/>
  <c r="J71" i="33"/>
  <c r="I71" i="33"/>
  <c r="E71" i="33"/>
  <c r="D71" i="33"/>
  <c r="AN70" i="33"/>
  <c r="AK70" i="33"/>
  <c r="J70" i="33"/>
  <c r="I70" i="33"/>
  <c r="AI70" i="33"/>
  <c r="E70" i="33"/>
  <c r="AK69" i="33"/>
  <c r="AN69" i="33"/>
  <c r="AI69" i="33"/>
  <c r="J69" i="33"/>
  <c r="I69" i="33"/>
  <c r="E69" i="33"/>
  <c r="AN68" i="33"/>
  <c r="AK68" i="33"/>
  <c r="AA68" i="33"/>
  <c r="Z68" i="33"/>
  <c r="Z108" i="33"/>
  <c r="W68" i="33"/>
  <c r="V68" i="33"/>
  <c r="S68" i="33"/>
  <c r="I68" i="33"/>
  <c r="AI68" i="33"/>
  <c r="E68" i="33"/>
  <c r="J67" i="33"/>
  <c r="I67" i="33"/>
  <c r="AK66" i="33"/>
  <c r="AN66" i="33"/>
  <c r="AH66" i="33"/>
  <c r="AH95" i="33"/>
  <c r="AA66" i="33"/>
  <c r="Z66" i="33"/>
  <c r="W66" i="33"/>
  <c r="V66" i="33"/>
  <c r="T66" i="33"/>
  <c r="S66" i="33"/>
  <c r="I66" i="33"/>
  <c r="AI66" i="33"/>
  <c r="E66" i="33"/>
  <c r="J65" i="33"/>
  <c r="I65" i="33"/>
  <c r="AK64" i="33"/>
  <c r="AN64" i="33"/>
  <c r="Y64" i="33"/>
  <c r="X64" i="33"/>
  <c r="U64" i="33"/>
  <c r="T64" i="33"/>
  <c r="I64" i="33"/>
  <c r="I111" i="33"/>
  <c r="J63" i="33"/>
  <c r="I63" i="33"/>
  <c r="E63" i="33"/>
  <c r="AN62" i="33"/>
  <c r="AK62" i="33"/>
  <c r="J62" i="33"/>
  <c r="AK61" i="33"/>
  <c r="AN61" i="33"/>
  <c r="AA61" i="33"/>
  <c r="Z61" i="33"/>
  <c r="Y61" i="33"/>
  <c r="W61" i="33"/>
  <c r="V61" i="33"/>
  <c r="U61" i="33"/>
  <c r="S61" i="33"/>
  <c r="R61" i="33"/>
  <c r="Q61" i="33"/>
  <c r="O61" i="33"/>
  <c r="N61" i="33"/>
  <c r="I61" i="33"/>
  <c r="AI61" i="33"/>
  <c r="P60" i="33"/>
  <c r="E60" i="33"/>
  <c r="AN59" i="33"/>
  <c r="AK59" i="33"/>
  <c r="J59" i="33"/>
  <c r="AK58" i="33"/>
  <c r="AN58" i="33"/>
  <c r="AI58" i="33"/>
  <c r="AF58" i="33"/>
  <c r="Z58" i="33"/>
  <c r="Y58" i="33"/>
  <c r="X58" i="33"/>
  <c r="W58" i="33"/>
  <c r="V58" i="33"/>
  <c r="U58" i="33"/>
  <c r="J58" i="33"/>
  <c r="T58" i="33"/>
  <c r="S58" i="33"/>
  <c r="J57" i="33"/>
  <c r="I57" i="33"/>
  <c r="E57" i="33"/>
  <c r="AK56" i="33"/>
  <c r="AN56" i="33"/>
  <c r="AI56" i="33"/>
  <c r="AF56" i="33"/>
  <c r="Z56" i="33"/>
  <c r="Y56" i="33"/>
  <c r="X56" i="33"/>
  <c r="W56" i="33"/>
  <c r="V56" i="33"/>
  <c r="U56" i="33"/>
  <c r="T56" i="33"/>
  <c r="S56" i="33"/>
  <c r="J55" i="33"/>
  <c r="I55" i="33"/>
  <c r="E55" i="33"/>
  <c r="AK54" i="33"/>
  <c r="AN54" i="33"/>
  <c r="AF54" i="33"/>
  <c r="U54" i="33"/>
  <c r="I54" i="33"/>
  <c r="Y54" i="33"/>
  <c r="AA53" i="33"/>
  <c r="I53" i="33"/>
  <c r="J53" i="33"/>
  <c r="E53" i="33"/>
  <c r="AK52" i="33"/>
  <c r="AN52" i="33"/>
  <c r="J52" i="33"/>
  <c r="AK51" i="33"/>
  <c r="AN51" i="33"/>
  <c r="AI51" i="33"/>
  <c r="Y51" i="33"/>
  <c r="X51" i="33"/>
  <c r="W51" i="33"/>
  <c r="U51" i="33"/>
  <c r="T51" i="33"/>
  <c r="I51" i="33"/>
  <c r="Z51" i="33"/>
  <c r="J50" i="33"/>
  <c r="I50" i="33"/>
  <c r="E50" i="33"/>
  <c r="AK49" i="33"/>
  <c r="AN49" i="33"/>
  <c r="AF49" i="33"/>
  <c r="I49" i="33"/>
  <c r="J48" i="33"/>
  <c r="I48" i="33"/>
  <c r="E48" i="33"/>
  <c r="AK47" i="33"/>
  <c r="AN47" i="33"/>
  <c r="T47" i="33"/>
  <c r="I47" i="33"/>
  <c r="W47" i="33"/>
  <c r="J46" i="33"/>
  <c r="I46" i="33"/>
  <c r="E46" i="33"/>
  <c r="AK45" i="33"/>
  <c r="AN45" i="33"/>
  <c r="AI45" i="33"/>
  <c r="S45" i="33"/>
  <c r="I45" i="33"/>
  <c r="V45" i="33"/>
  <c r="J44" i="33"/>
  <c r="I44" i="33"/>
  <c r="E44" i="33"/>
  <c r="AK43" i="33"/>
  <c r="AN43" i="33"/>
  <c r="AF43" i="33"/>
  <c r="I43" i="33"/>
  <c r="J42" i="33"/>
  <c r="I42" i="33"/>
  <c r="E42" i="33"/>
  <c r="AK41" i="33"/>
  <c r="AN41" i="33"/>
  <c r="W41" i="33"/>
  <c r="I41" i="33"/>
  <c r="J40" i="33"/>
  <c r="I40" i="33"/>
  <c r="E40" i="33"/>
  <c r="AK39" i="33"/>
  <c r="AN39" i="33"/>
  <c r="AI39" i="33"/>
  <c r="Z39" i="33"/>
  <c r="X39" i="33"/>
  <c r="W39" i="33"/>
  <c r="V39" i="33"/>
  <c r="T39" i="33"/>
  <c r="S39" i="33"/>
  <c r="R39" i="33"/>
  <c r="O39" i="33"/>
  <c r="I39" i="33"/>
  <c r="Y39" i="33"/>
  <c r="P38" i="33"/>
  <c r="E38" i="33"/>
  <c r="AN37" i="33"/>
  <c r="AK37" i="33"/>
  <c r="AI37" i="33"/>
  <c r="AF37" i="33"/>
  <c r="Z37" i="33"/>
  <c r="Z110" i="33"/>
  <c r="Y37" i="33"/>
  <c r="X37" i="33"/>
  <c r="W37" i="33"/>
  <c r="V37" i="33"/>
  <c r="U37" i="33"/>
  <c r="T37" i="33"/>
  <c r="S37" i="33"/>
  <c r="Q37" i="33"/>
  <c r="O37" i="33"/>
  <c r="O110" i="33"/>
  <c r="N37" i="33"/>
  <c r="N110" i="33"/>
  <c r="Z36" i="33"/>
  <c r="R36" i="33"/>
  <c r="I36" i="33"/>
  <c r="P36" i="33"/>
  <c r="P37" i="33"/>
  <c r="P110" i="33"/>
  <c r="E36" i="33"/>
  <c r="AK35" i="33"/>
  <c r="AN35" i="33"/>
  <c r="AI35" i="33"/>
  <c r="AF35" i="33"/>
  <c r="Y35" i="33"/>
  <c r="X35" i="33"/>
  <c r="W35" i="33"/>
  <c r="U35" i="33"/>
  <c r="T35" i="33"/>
  <c r="AK34" i="33"/>
  <c r="AN34" i="33"/>
  <c r="S35" i="33"/>
  <c r="R35" i="33"/>
  <c r="R107" i="33"/>
  <c r="Q35" i="33"/>
  <c r="P35" i="33"/>
  <c r="O35" i="33"/>
  <c r="N35" i="33"/>
  <c r="N106" i="33"/>
  <c r="Z34" i="33"/>
  <c r="Z35" i="33"/>
  <c r="Z107" i="33"/>
  <c r="V34" i="33"/>
  <c r="V35" i="33"/>
  <c r="P34" i="33"/>
  <c r="E34" i="33"/>
  <c r="AK33" i="33"/>
  <c r="AN33" i="33"/>
  <c r="AF33" i="33"/>
  <c r="X33" i="33"/>
  <c r="V33" i="33"/>
  <c r="T33" i="33"/>
  <c r="Q33" i="33"/>
  <c r="O33" i="33"/>
  <c r="I33" i="33"/>
  <c r="AI33" i="33"/>
  <c r="Z32" i="33"/>
  <c r="I32" i="33"/>
  <c r="R32" i="33"/>
  <c r="AK31" i="33"/>
  <c r="AN31" i="33"/>
  <c r="P32" i="33"/>
  <c r="J32" i="33"/>
  <c r="E32" i="33"/>
  <c r="J31" i="33"/>
  <c r="AK30" i="33"/>
  <c r="AN30" i="33"/>
  <c r="T30" i="33"/>
  <c r="Q30" i="33"/>
  <c r="AK29" i="33"/>
  <c r="O30" i="33"/>
  <c r="N30" i="33"/>
  <c r="I30" i="33"/>
  <c r="AI30" i="33"/>
  <c r="AN29" i="33"/>
  <c r="S29" i="33"/>
  <c r="S30" i="33"/>
  <c r="R29" i="33"/>
  <c r="P29" i="33"/>
  <c r="E29" i="33"/>
  <c r="T28" i="33"/>
  <c r="I28" i="33"/>
  <c r="J27" i="33"/>
  <c r="I27" i="33"/>
  <c r="E27" i="33"/>
  <c r="AN26" i="33"/>
  <c r="AK26" i="33"/>
  <c r="AI26" i="33"/>
  <c r="AF26" i="33"/>
  <c r="R26" i="33"/>
  <c r="N26" i="33"/>
  <c r="I26" i="33"/>
  <c r="S26" i="33"/>
  <c r="P25" i="33"/>
  <c r="I25" i="33"/>
  <c r="J25" i="33"/>
  <c r="E25" i="33"/>
  <c r="S16" i="33"/>
  <c r="I114" i="32"/>
  <c r="Z114" i="32"/>
  <c r="AB113" i="32"/>
  <c r="AA113" i="32"/>
  <c r="AA114" i="32"/>
  <c r="Z113" i="32"/>
  <c r="Y113" i="32"/>
  <c r="X113" i="32"/>
  <c r="W113" i="32"/>
  <c r="W114" i="32"/>
  <c r="V113" i="32"/>
  <c r="U113" i="32"/>
  <c r="T113" i="32"/>
  <c r="T114" i="32"/>
  <c r="S113" i="32"/>
  <c r="S114" i="32"/>
  <c r="R113" i="32"/>
  <c r="Q113" i="32"/>
  <c r="P113" i="32"/>
  <c r="P114" i="32"/>
  <c r="O113" i="32"/>
  <c r="O114" i="32"/>
  <c r="N113" i="32"/>
  <c r="M113" i="32"/>
  <c r="L113" i="32"/>
  <c r="L114" i="32"/>
  <c r="K113" i="32"/>
  <c r="I112" i="32"/>
  <c r="Z112" i="32"/>
  <c r="AB111" i="32"/>
  <c r="AB112" i="32"/>
  <c r="AA111" i="32"/>
  <c r="AA112" i="32"/>
  <c r="Z111" i="32"/>
  <c r="Y111" i="32"/>
  <c r="X111" i="32"/>
  <c r="X112" i="32"/>
  <c r="W111" i="32"/>
  <c r="W112" i="32"/>
  <c r="V111" i="32"/>
  <c r="U111" i="32"/>
  <c r="T111" i="32"/>
  <c r="T112" i="32"/>
  <c r="S111" i="32"/>
  <c r="S112" i="32"/>
  <c r="R111" i="32"/>
  <c r="Q111" i="32"/>
  <c r="P111" i="32"/>
  <c r="P112" i="32"/>
  <c r="O111" i="32"/>
  <c r="O112" i="32"/>
  <c r="N111" i="32"/>
  <c r="M111" i="32"/>
  <c r="L111" i="32"/>
  <c r="L112" i="32"/>
  <c r="K111" i="32"/>
  <c r="I110" i="32"/>
  <c r="Z110" i="32"/>
  <c r="AB109" i="32"/>
  <c r="AB110" i="32"/>
  <c r="AA109" i="32"/>
  <c r="AA110" i="32"/>
  <c r="Z109" i="32"/>
  <c r="Y109" i="32"/>
  <c r="X109" i="32"/>
  <c r="X110" i="32"/>
  <c r="W109" i="32"/>
  <c r="W110" i="32"/>
  <c r="V109" i="32"/>
  <c r="U109" i="32"/>
  <c r="T109" i="32"/>
  <c r="T110" i="32"/>
  <c r="S109" i="32"/>
  <c r="S110" i="32"/>
  <c r="R109" i="32"/>
  <c r="Q109" i="32"/>
  <c r="P109" i="32"/>
  <c r="P110" i="32"/>
  <c r="O109" i="32"/>
  <c r="O110" i="32"/>
  <c r="N109" i="32"/>
  <c r="M109" i="32"/>
  <c r="L109" i="32"/>
  <c r="L110" i="32"/>
  <c r="K109" i="32"/>
  <c r="AA108" i="32"/>
  <c r="W108" i="32"/>
  <c r="S108" i="32"/>
  <c r="O108" i="32"/>
  <c r="K108" i="32"/>
  <c r="I108" i="32"/>
  <c r="Z108" i="32"/>
  <c r="AB107" i="32"/>
  <c r="AB108" i="32"/>
  <c r="AA107" i="32"/>
  <c r="Z107" i="32"/>
  <c r="Y107" i="32"/>
  <c r="X107" i="32"/>
  <c r="X108" i="32"/>
  <c r="W107" i="32"/>
  <c r="V107" i="32"/>
  <c r="U107" i="32"/>
  <c r="T107" i="32"/>
  <c r="T108" i="32"/>
  <c r="S107" i="32"/>
  <c r="R107" i="32"/>
  <c r="Q107" i="32"/>
  <c r="P107" i="32"/>
  <c r="P108" i="32"/>
  <c r="O107" i="32"/>
  <c r="N107" i="32"/>
  <c r="M107" i="32"/>
  <c r="L107" i="32"/>
  <c r="K107" i="32"/>
  <c r="J107" i="32"/>
  <c r="Z106" i="32"/>
  <c r="Y106" i="32"/>
  <c r="V106" i="32"/>
  <c r="U106" i="32"/>
  <c r="O106" i="32"/>
  <c r="L106" i="32"/>
  <c r="K106" i="32"/>
  <c r="I106" i="32"/>
  <c r="AB106" i="32"/>
  <c r="T105" i="32"/>
  <c r="S105" i="32"/>
  <c r="Q105" i="32"/>
  <c r="O105" i="32"/>
  <c r="N105" i="32"/>
  <c r="M105" i="32"/>
  <c r="L105" i="32"/>
  <c r="K105" i="32"/>
  <c r="AA104" i="32"/>
  <c r="Z104" i="32"/>
  <c r="W104" i="32"/>
  <c r="S104" i="32"/>
  <c r="R104" i="32"/>
  <c r="O104" i="32"/>
  <c r="K104" i="32"/>
  <c r="AB103" i="32"/>
  <c r="AB104" i="32"/>
  <c r="AA103" i="32"/>
  <c r="Z103" i="32"/>
  <c r="Y103" i="32"/>
  <c r="Y104" i="32"/>
  <c r="X103" i="32"/>
  <c r="X104" i="32"/>
  <c r="W103" i="32"/>
  <c r="V103" i="32"/>
  <c r="V104" i="32"/>
  <c r="U103" i="32"/>
  <c r="U104" i="32"/>
  <c r="T103" i="32"/>
  <c r="T104" i="32"/>
  <c r="S103" i="32"/>
  <c r="R103" i="32"/>
  <c r="Q103" i="32"/>
  <c r="Q104" i="32"/>
  <c r="P103" i="32"/>
  <c r="P104" i="32"/>
  <c r="O103" i="32"/>
  <c r="N103" i="32"/>
  <c r="N104" i="32"/>
  <c r="M103" i="32"/>
  <c r="M104" i="32"/>
  <c r="L103" i="32"/>
  <c r="L104" i="32"/>
  <c r="K103" i="32"/>
  <c r="V102" i="32"/>
  <c r="U102" i="32"/>
  <c r="N102" i="32"/>
  <c r="M102" i="32"/>
  <c r="I102" i="32"/>
  <c r="AB101" i="32"/>
  <c r="AA101" i="32"/>
  <c r="Z101" i="32"/>
  <c r="Y101" i="32"/>
  <c r="X101" i="32"/>
  <c r="W101" i="32"/>
  <c r="V101" i="32"/>
  <c r="U101" i="32"/>
  <c r="T101" i="32"/>
  <c r="S101" i="32"/>
  <c r="R101" i="32"/>
  <c r="Q101" i="32"/>
  <c r="P101" i="32"/>
  <c r="O101" i="32"/>
  <c r="N101" i="32"/>
  <c r="M101" i="32"/>
  <c r="J101" i="32"/>
  <c r="L101" i="32"/>
  <c r="K101" i="32"/>
  <c r="I101" i="32"/>
  <c r="I100" i="32"/>
  <c r="U100" i="32"/>
  <c r="AB99" i="32"/>
  <c r="AA99" i="32"/>
  <c r="Z99" i="32"/>
  <c r="Y99" i="32"/>
  <c r="X99" i="32"/>
  <c r="W99" i="32"/>
  <c r="V99" i="32"/>
  <c r="U99" i="32"/>
  <c r="T99" i="32"/>
  <c r="S99" i="32"/>
  <c r="R99" i="32"/>
  <c r="Q99" i="32"/>
  <c r="P99" i="32"/>
  <c r="O99" i="32"/>
  <c r="N99" i="32"/>
  <c r="M99" i="32"/>
  <c r="J99" i="32"/>
  <c r="L99" i="32"/>
  <c r="K99" i="32"/>
  <c r="I99" i="32"/>
  <c r="X98" i="32"/>
  <c r="W98" i="32"/>
  <c r="T98" i="32"/>
  <c r="S98" i="32"/>
  <c r="O98" i="32"/>
  <c r="L98" i="32"/>
  <c r="K98" i="32"/>
  <c r="I98" i="32"/>
  <c r="S97" i="32"/>
  <c r="Q97" i="32"/>
  <c r="O97" i="32"/>
  <c r="N97" i="32"/>
  <c r="M97" i="32"/>
  <c r="L97" i="32"/>
  <c r="K97" i="32"/>
  <c r="AB87" i="32"/>
  <c r="M87" i="32"/>
  <c r="L87" i="32"/>
  <c r="K87" i="32"/>
  <c r="I87" i="32"/>
  <c r="AB86" i="32"/>
  <c r="P86" i="32"/>
  <c r="M86" i="32"/>
  <c r="L86" i="32"/>
  <c r="K86" i="32"/>
  <c r="AB85" i="32"/>
  <c r="S85" i="32"/>
  <c r="M85" i="32"/>
  <c r="L85" i="32"/>
  <c r="K85" i="32"/>
  <c r="AB84" i="32"/>
  <c r="AB89" i="32"/>
  <c r="M84" i="32"/>
  <c r="L84" i="32"/>
  <c r="K84" i="32"/>
  <c r="I84" i="32"/>
  <c r="O79" i="32"/>
  <c r="O80" i="32"/>
  <c r="O81" i="32"/>
  <c r="L78" i="32"/>
  <c r="L79" i="32"/>
  <c r="L80" i="32"/>
  <c r="L81" i="32"/>
  <c r="K77" i="32"/>
  <c r="M76" i="32"/>
  <c r="AE73" i="32"/>
  <c r="AD73" i="32"/>
  <c r="M73" i="32"/>
  <c r="M77" i="32"/>
  <c r="L73" i="32"/>
  <c r="K73" i="32"/>
  <c r="K76" i="32"/>
  <c r="E72" i="32"/>
  <c r="P71" i="32"/>
  <c r="J71" i="32"/>
  <c r="I71" i="32"/>
  <c r="AI70" i="32"/>
  <c r="Y70" i="32"/>
  <c r="X70" i="32"/>
  <c r="W70" i="32"/>
  <c r="U70" i="32"/>
  <c r="S70" i="32"/>
  <c r="S86" i="32"/>
  <c r="R70" i="32"/>
  <c r="R86" i="32"/>
  <c r="P70" i="32"/>
  <c r="O70" i="32"/>
  <c r="I70" i="32"/>
  <c r="AA70" i="32"/>
  <c r="E70" i="32"/>
  <c r="T69" i="32"/>
  <c r="I69" i="32"/>
  <c r="P69" i="32"/>
  <c r="J69" i="32"/>
  <c r="AI68" i="32"/>
  <c r="Y68" i="32"/>
  <c r="X68" i="32"/>
  <c r="U68" i="32"/>
  <c r="I68" i="32"/>
  <c r="AA68" i="32"/>
  <c r="E68" i="32"/>
  <c r="J67" i="32"/>
  <c r="I67" i="32"/>
  <c r="E66" i="32"/>
  <c r="J65" i="32"/>
  <c r="I65" i="32"/>
  <c r="E64" i="32"/>
  <c r="J63" i="32"/>
  <c r="I63" i="32"/>
  <c r="AH62" i="32"/>
  <c r="AH73" i="32"/>
  <c r="Z62" i="32"/>
  <c r="I62" i="32"/>
  <c r="E62" i="32"/>
  <c r="J61" i="32"/>
  <c r="I61" i="32"/>
  <c r="I60" i="32"/>
  <c r="W60" i="32"/>
  <c r="J59" i="32"/>
  <c r="I59" i="32"/>
  <c r="E59" i="32"/>
  <c r="J58" i="32"/>
  <c r="I57" i="32"/>
  <c r="P56" i="32"/>
  <c r="J56" i="32"/>
  <c r="I56" i="32"/>
  <c r="E56" i="32"/>
  <c r="J55" i="32"/>
  <c r="AF54" i="32"/>
  <c r="AA54" i="32"/>
  <c r="X54" i="32"/>
  <c r="W54" i="32"/>
  <c r="T54" i="32"/>
  <c r="I54" i="32"/>
  <c r="Z54" i="32"/>
  <c r="J53" i="32"/>
  <c r="I53" i="32"/>
  <c r="E53" i="32"/>
  <c r="AF52" i="32"/>
  <c r="Z52" i="32"/>
  <c r="I52" i="32"/>
  <c r="J51" i="32"/>
  <c r="I51" i="32"/>
  <c r="E51" i="32"/>
  <c r="J50" i="32"/>
  <c r="Z49" i="32"/>
  <c r="Y49" i="32"/>
  <c r="V49" i="32"/>
  <c r="U49" i="32"/>
  <c r="I49" i="32"/>
  <c r="AI49" i="32"/>
  <c r="J48" i="32"/>
  <c r="I48" i="32"/>
  <c r="E48" i="32"/>
  <c r="AF47" i="32"/>
  <c r="Z47" i="32"/>
  <c r="I47" i="32"/>
  <c r="J46" i="32"/>
  <c r="I46" i="32"/>
  <c r="E46" i="32"/>
  <c r="AI45" i="32"/>
  <c r="X45" i="32"/>
  <c r="T45" i="32"/>
  <c r="I45" i="32"/>
  <c r="AA45" i="32"/>
  <c r="J44" i="32"/>
  <c r="I44" i="32"/>
  <c r="E44" i="32"/>
  <c r="AA43" i="32"/>
  <c r="W43" i="32"/>
  <c r="S43" i="32"/>
  <c r="I43" i="32"/>
  <c r="Z43" i="32"/>
  <c r="J42" i="32"/>
  <c r="I42" i="32"/>
  <c r="E42" i="32"/>
  <c r="AI41" i="32"/>
  <c r="AF41" i="32"/>
  <c r="Z41" i="32"/>
  <c r="Y41" i="32"/>
  <c r="X41" i="32"/>
  <c r="V41" i="32"/>
  <c r="U41" i="32"/>
  <c r="T41" i="32"/>
  <c r="R41" i="32"/>
  <c r="Q41" i="32"/>
  <c r="I41" i="32"/>
  <c r="AA41" i="32"/>
  <c r="J40" i="32"/>
  <c r="I40" i="32"/>
  <c r="E40" i="32"/>
  <c r="Z39" i="32"/>
  <c r="Y39" i="32"/>
  <c r="V39" i="32"/>
  <c r="U39" i="32"/>
  <c r="R39" i="32"/>
  <c r="Q39" i="32"/>
  <c r="I39" i="32"/>
  <c r="AI39" i="32"/>
  <c r="J38" i="32"/>
  <c r="I38" i="32"/>
  <c r="E38" i="32"/>
  <c r="I37" i="32"/>
  <c r="P36" i="32"/>
  <c r="J36" i="32"/>
  <c r="I36" i="32"/>
  <c r="E36" i="32"/>
  <c r="AF35" i="32"/>
  <c r="Z35" i="32"/>
  <c r="V35" i="32"/>
  <c r="Q35" i="32"/>
  <c r="Q85" i="32"/>
  <c r="I35" i="32"/>
  <c r="P34" i="32"/>
  <c r="P105" i="32"/>
  <c r="P106" i="32"/>
  <c r="J34" i="32"/>
  <c r="I34" i="32"/>
  <c r="E34" i="32"/>
  <c r="AF33" i="32"/>
  <c r="Z33" i="32"/>
  <c r="V33" i="32"/>
  <c r="P33" i="32"/>
  <c r="I33" i="32"/>
  <c r="AI33" i="32"/>
  <c r="R32" i="32"/>
  <c r="P32" i="32"/>
  <c r="E32" i="32"/>
  <c r="J31" i="32"/>
  <c r="U30" i="32"/>
  <c r="P30" i="32"/>
  <c r="I30" i="32"/>
  <c r="T30" i="32"/>
  <c r="Q29" i="32"/>
  <c r="P29" i="32"/>
  <c r="E29" i="32"/>
  <c r="T28" i="32"/>
  <c r="S28" i="32"/>
  <c r="I28" i="32"/>
  <c r="AI28" i="32"/>
  <c r="J27" i="32"/>
  <c r="I27" i="32"/>
  <c r="E27" i="32"/>
  <c r="AF26" i="32"/>
  <c r="T26" i="32"/>
  <c r="P26" i="32"/>
  <c r="I26" i="32"/>
  <c r="S26" i="32"/>
  <c r="P25" i="32"/>
  <c r="J25" i="32"/>
  <c r="E25" i="32"/>
  <c r="I23" i="32"/>
  <c r="I64" i="32"/>
  <c r="W64" i="32"/>
  <c r="I101" i="35"/>
  <c r="Y110" i="35"/>
  <c r="J109" i="35"/>
  <c r="Y112" i="35"/>
  <c r="I111" i="35"/>
  <c r="Y108" i="35"/>
  <c r="Y114" i="35"/>
  <c r="J113" i="35"/>
  <c r="R85" i="35"/>
  <c r="AL30" i="35"/>
  <c r="AL35" i="35"/>
  <c r="J29" i="35"/>
  <c r="AA43" i="35"/>
  <c r="W43" i="35"/>
  <c r="S43" i="35"/>
  <c r="Z43" i="35"/>
  <c r="V43" i="35"/>
  <c r="R43" i="35"/>
  <c r="Y43" i="35"/>
  <c r="U43" i="35"/>
  <c r="AJ43" i="35"/>
  <c r="X43" i="35"/>
  <c r="T43" i="35"/>
  <c r="Y68" i="35"/>
  <c r="U68" i="35"/>
  <c r="AJ68" i="35"/>
  <c r="X68" i="35"/>
  <c r="Z68" i="35"/>
  <c r="W68" i="35"/>
  <c r="V68" i="35"/>
  <c r="I73" i="35"/>
  <c r="AA68" i="35"/>
  <c r="L79" i="35"/>
  <c r="L80" i="35"/>
  <c r="L81" i="35"/>
  <c r="J105" i="35"/>
  <c r="I105" i="35"/>
  <c r="AA64" i="35"/>
  <c r="AA86" i="35"/>
  <c r="W64" i="35"/>
  <c r="AJ64" i="35"/>
  <c r="V64" i="35"/>
  <c r="Z64" i="35"/>
  <c r="Z86" i="35"/>
  <c r="U64" i="35"/>
  <c r="U86" i="35"/>
  <c r="Y64" i="35"/>
  <c r="T64" i="35"/>
  <c r="M79" i="35"/>
  <c r="M80" i="35"/>
  <c r="M81" i="35"/>
  <c r="AJ70" i="35"/>
  <c r="X70" i="35"/>
  <c r="S70" i="35"/>
  <c r="S86" i="35"/>
  <c r="O70" i="35"/>
  <c r="AA70" i="35"/>
  <c r="V70" i="35"/>
  <c r="R70" i="35"/>
  <c r="R86" i="35"/>
  <c r="Z70" i="35"/>
  <c r="Q70" i="35"/>
  <c r="Q86" i="35"/>
  <c r="Y70" i="35"/>
  <c r="Y86" i="35"/>
  <c r="P70" i="35"/>
  <c r="P86" i="35"/>
  <c r="J99" i="35"/>
  <c r="I99" i="35"/>
  <c r="Y45" i="35"/>
  <c r="U45" i="35"/>
  <c r="Z45" i="35"/>
  <c r="T45" i="35"/>
  <c r="X45" i="35"/>
  <c r="S45" i="35"/>
  <c r="AJ45" i="35"/>
  <c r="W45" i="35"/>
  <c r="X64" i="35"/>
  <c r="T85" i="35"/>
  <c r="J104" i="35"/>
  <c r="AL106" i="35"/>
  <c r="AL107" i="35"/>
  <c r="Q26" i="35"/>
  <c r="U26" i="35"/>
  <c r="AL37" i="35"/>
  <c r="S39" i="35"/>
  <c r="W39" i="35"/>
  <c r="AA39" i="35"/>
  <c r="AA47" i="35"/>
  <c r="W47" i="35"/>
  <c r="X47" i="35"/>
  <c r="AJ47" i="35"/>
  <c r="Y49" i="35"/>
  <c r="U49" i="35"/>
  <c r="X49" i="35"/>
  <c r="T86" i="35"/>
  <c r="W66" i="35"/>
  <c r="K80" i="35"/>
  <c r="W79" i="35"/>
  <c r="W80" i="35"/>
  <c r="J97" i="35"/>
  <c r="I97" i="35"/>
  <c r="I115" i="35"/>
  <c r="I118" i="35"/>
  <c r="AB98" i="35"/>
  <c r="X98" i="35"/>
  <c r="T98" i="35"/>
  <c r="L98" i="35"/>
  <c r="AA98" i="35"/>
  <c r="AA115" i="35"/>
  <c r="W98" i="35"/>
  <c r="W115" i="35"/>
  <c r="W118" i="35"/>
  <c r="S98" i="35"/>
  <c r="O98" i="35"/>
  <c r="K98" i="35"/>
  <c r="V98" i="35"/>
  <c r="N98" i="35"/>
  <c r="U98" i="35"/>
  <c r="M98" i="35"/>
  <c r="Y98" i="35"/>
  <c r="R26" i="35"/>
  <c r="V26" i="35"/>
  <c r="AJ26" i="35"/>
  <c r="U28" i="35"/>
  <c r="AB28" i="35"/>
  <c r="U29" i="35"/>
  <c r="I29" i="35"/>
  <c r="P30" i="35"/>
  <c r="J30" i="35"/>
  <c r="V30" i="35"/>
  <c r="AJ30" i="35"/>
  <c r="J32" i="35"/>
  <c r="P33" i="35"/>
  <c r="Y33" i="35"/>
  <c r="AJ33" i="35"/>
  <c r="P35" i="35"/>
  <c r="AA35" i="35"/>
  <c r="R37" i="35"/>
  <c r="J37" i="35"/>
  <c r="V37" i="35"/>
  <c r="Z37" i="35"/>
  <c r="T39" i="35"/>
  <c r="T84" i="35"/>
  <c r="X39" i="35"/>
  <c r="AJ39" i="35"/>
  <c r="S41" i="35"/>
  <c r="W41" i="35"/>
  <c r="AA41" i="35"/>
  <c r="T47" i="35"/>
  <c r="Y47" i="35"/>
  <c r="Z49" i="35"/>
  <c r="AA54" i="35"/>
  <c r="W54" i="35"/>
  <c r="J54" i="35"/>
  <c r="AJ54" i="35"/>
  <c r="J56" i="35"/>
  <c r="I69" i="35"/>
  <c r="K79" i="35"/>
  <c r="P97" i="35"/>
  <c r="P98" i="35"/>
  <c r="P115" i="35"/>
  <c r="P118" i="35"/>
  <c r="Z98" i="35"/>
  <c r="I85" i="35"/>
  <c r="Z66" i="35"/>
  <c r="Z85" i="35"/>
  <c r="V66" i="35"/>
  <c r="V85" i="35"/>
  <c r="Y66" i="35"/>
  <c r="Y85" i="35"/>
  <c r="U66" i="35"/>
  <c r="U85" i="35"/>
  <c r="O26" i="35"/>
  <c r="S26" i="35"/>
  <c r="W26" i="35"/>
  <c r="R30" i="35"/>
  <c r="Q33" i="35"/>
  <c r="Q35" i="35"/>
  <c r="Q85" i="35"/>
  <c r="S37" i="35"/>
  <c r="W37" i="35"/>
  <c r="Q39" i="35"/>
  <c r="U39" i="35"/>
  <c r="T41" i="35"/>
  <c r="U47" i="35"/>
  <c r="Z47" i="35"/>
  <c r="V49" i="35"/>
  <c r="AA49" i="35"/>
  <c r="AA66" i="35"/>
  <c r="AA85" i="35"/>
  <c r="T75" i="35"/>
  <c r="T78" i="35"/>
  <c r="T69" i="35"/>
  <c r="I72" i="35"/>
  <c r="M77" i="35"/>
  <c r="O75" i="35"/>
  <c r="Q98" i="35"/>
  <c r="I103" i="35"/>
  <c r="J107" i="35"/>
  <c r="I107" i="35"/>
  <c r="K108" i="35"/>
  <c r="K112" i="35"/>
  <c r="V52" i="35"/>
  <c r="J52" i="35"/>
  <c r="Q57" i="35"/>
  <c r="J57" i="35"/>
  <c r="U57" i="35"/>
  <c r="W60" i="35"/>
  <c r="J60" i="35"/>
  <c r="V62" i="35"/>
  <c r="J62" i="35"/>
  <c r="L77" i="35"/>
  <c r="AA100" i="35"/>
  <c r="W100" i="35"/>
  <c r="S100" i="35"/>
  <c r="O100" i="35"/>
  <c r="K100" i="35"/>
  <c r="Z100" i="35"/>
  <c r="V100" i="35"/>
  <c r="R100" i="35"/>
  <c r="R115" i="35"/>
  <c r="R118" i="35"/>
  <c r="N100" i="35"/>
  <c r="Q100" i="35"/>
  <c r="Y100" i="35"/>
  <c r="L100" i="35"/>
  <c r="T100" i="35"/>
  <c r="AB100" i="35"/>
  <c r="AA102" i="35"/>
  <c r="W102" i="35"/>
  <c r="S102" i="35"/>
  <c r="O102" i="35"/>
  <c r="K102" i="35"/>
  <c r="Z102" i="35"/>
  <c r="V102" i="35"/>
  <c r="R102" i="35"/>
  <c r="N102" i="35"/>
  <c r="Q102" i="35"/>
  <c r="Y102" i="35"/>
  <c r="I109" i="35"/>
  <c r="K110" i="35"/>
  <c r="I113" i="35"/>
  <c r="K114" i="35"/>
  <c r="J103" i="35"/>
  <c r="M106" i="35"/>
  <c r="Q106" i="35"/>
  <c r="J106" i="35"/>
  <c r="V106" i="35"/>
  <c r="Z106" i="35"/>
  <c r="L108" i="35"/>
  <c r="P108" i="35"/>
  <c r="T108" i="35"/>
  <c r="X108" i="35"/>
  <c r="AB108" i="35"/>
  <c r="L110" i="35"/>
  <c r="P110" i="35"/>
  <c r="T110" i="35"/>
  <c r="X110" i="35"/>
  <c r="AB110" i="35"/>
  <c r="L112" i="35"/>
  <c r="P112" i="35"/>
  <c r="T112" i="35"/>
  <c r="X112" i="35"/>
  <c r="AB112" i="35"/>
  <c r="L114" i="35"/>
  <c r="P114" i="35"/>
  <c r="T114" i="35"/>
  <c r="X114" i="35"/>
  <c r="AB114" i="35"/>
  <c r="N106" i="35"/>
  <c r="S106" i="35"/>
  <c r="W106" i="35"/>
  <c r="M108" i="35"/>
  <c r="Q108" i="35"/>
  <c r="U108" i="35"/>
  <c r="M110" i="35"/>
  <c r="Q110" i="35"/>
  <c r="U110" i="35"/>
  <c r="M112" i="35"/>
  <c r="Q112" i="35"/>
  <c r="U112" i="35"/>
  <c r="M114" i="35"/>
  <c r="Q114" i="35"/>
  <c r="U114" i="35"/>
  <c r="Y37" i="32"/>
  <c r="U37" i="32"/>
  <c r="Q37" i="32"/>
  <c r="W37" i="32"/>
  <c r="X37" i="32"/>
  <c r="T37" i="32"/>
  <c r="P37" i="32"/>
  <c r="S37" i="32"/>
  <c r="AI37" i="32"/>
  <c r="AI57" i="32"/>
  <c r="X57" i="32"/>
  <c r="T57" i="32"/>
  <c r="P57" i="32"/>
  <c r="AA57" i="32"/>
  <c r="W57" i="32"/>
  <c r="S57" i="32"/>
  <c r="O57" i="32"/>
  <c r="J57" i="32"/>
  <c r="Z57" i="32"/>
  <c r="V57" i="32"/>
  <c r="R57" i="32"/>
  <c r="Q57" i="32"/>
  <c r="Z60" i="32"/>
  <c r="V60" i="32"/>
  <c r="Y60" i="32"/>
  <c r="Y86" i="32"/>
  <c r="U60" i="32"/>
  <c r="X60" i="32"/>
  <c r="J28" i="32"/>
  <c r="J29" i="32"/>
  <c r="I29" i="32"/>
  <c r="V37" i="32"/>
  <c r="V84" i="32"/>
  <c r="Y47" i="32"/>
  <c r="U47" i="32"/>
  <c r="W47" i="32"/>
  <c r="AI47" i="32"/>
  <c r="X47" i="32"/>
  <c r="T47" i="32"/>
  <c r="AI52" i="32"/>
  <c r="Y52" i="32"/>
  <c r="U52" i="32"/>
  <c r="X52" i="32"/>
  <c r="T52" i="32"/>
  <c r="AA52" i="32"/>
  <c r="W52" i="32"/>
  <c r="U57" i="32"/>
  <c r="AA60" i="32"/>
  <c r="AI62" i="32"/>
  <c r="Y62" i="32"/>
  <c r="U62" i="32"/>
  <c r="X62" i="32"/>
  <c r="T62" i="32"/>
  <c r="AA62" i="32"/>
  <c r="W62" i="32"/>
  <c r="W86" i="32"/>
  <c r="O86" i="32"/>
  <c r="J70" i="32"/>
  <c r="K78" i="32"/>
  <c r="I32" i="32"/>
  <c r="J32" i="32"/>
  <c r="R37" i="32"/>
  <c r="Z64" i="32"/>
  <c r="V64" i="32"/>
  <c r="Y64" i="32"/>
  <c r="U64" i="32"/>
  <c r="AI64" i="32"/>
  <c r="X64" i="32"/>
  <c r="T64" i="32"/>
  <c r="P84" i="32"/>
  <c r="Y35" i="32"/>
  <c r="U35" i="32"/>
  <c r="P35" i="32"/>
  <c r="P85" i="32"/>
  <c r="R35" i="32"/>
  <c r="AI35" i="32"/>
  <c r="X35" i="32"/>
  <c r="T35" i="32"/>
  <c r="O35" i="32"/>
  <c r="W35" i="32"/>
  <c r="Z37" i="32"/>
  <c r="V47" i="32"/>
  <c r="V52" i="32"/>
  <c r="Y57" i="32"/>
  <c r="V62" i="32"/>
  <c r="AA64" i="32"/>
  <c r="L76" i="32"/>
  <c r="L77" i="32"/>
  <c r="M75" i="32"/>
  <c r="J104" i="32"/>
  <c r="J113" i="32"/>
  <c r="I113" i="32"/>
  <c r="AI30" i="32"/>
  <c r="Q33" i="32"/>
  <c r="AA33" i="32"/>
  <c r="X43" i="32"/>
  <c r="I66" i="32"/>
  <c r="I72" i="32"/>
  <c r="R100" i="32"/>
  <c r="Z100" i="32"/>
  <c r="J103" i="32"/>
  <c r="L108" i="32"/>
  <c r="I107" i="32"/>
  <c r="U43" i="33"/>
  <c r="P43" i="33"/>
  <c r="T43" i="33"/>
  <c r="S43" i="33"/>
  <c r="Q43" i="33"/>
  <c r="AI49" i="33"/>
  <c r="X49" i="33"/>
  <c r="T49" i="33"/>
  <c r="W49" i="33"/>
  <c r="S49" i="33"/>
  <c r="Z49" i="33"/>
  <c r="V49" i="33"/>
  <c r="Y49" i="33"/>
  <c r="U49" i="33"/>
  <c r="Q100" i="32"/>
  <c r="I103" i="32"/>
  <c r="J109" i="32"/>
  <c r="I109" i="32"/>
  <c r="J111" i="32"/>
  <c r="I111" i="32"/>
  <c r="Q26" i="32"/>
  <c r="AI43" i="32"/>
  <c r="U45" i="32"/>
  <c r="Y45" i="32"/>
  <c r="R26" i="32"/>
  <c r="AI26" i="32"/>
  <c r="U28" i="32"/>
  <c r="S30" i="32"/>
  <c r="S84" i="32"/>
  <c r="T33" i="32"/>
  <c r="T84" i="32"/>
  <c r="X33" i="32"/>
  <c r="S39" i="32"/>
  <c r="W39" i="32"/>
  <c r="J39" i="32"/>
  <c r="AA39" i="32"/>
  <c r="U43" i="32"/>
  <c r="Y43" i="32"/>
  <c r="V45" i="32"/>
  <c r="Z45" i="32"/>
  <c r="W49" i="32"/>
  <c r="J49" i="32"/>
  <c r="AA49" i="32"/>
  <c r="U54" i="32"/>
  <c r="J54" i="32"/>
  <c r="Y54" i="32"/>
  <c r="AI54" i="32"/>
  <c r="V68" i="32"/>
  <c r="Z68" i="32"/>
  <c r="Q70" i="32"/>
  <c r="Q86" i="32"/>
  <c r="V70" i="32"/>
  <c r="Z70" i="32"/>
  <c r="O75" i="32"/>
  <c r="Y98" i="32"/>
  <c r="I115" i="32"/>
  <c r="I118" i="32"/>
  <c r="AB98" i="32"/>
  <c r="M98" i="32"/>
  <c r="Q98" i="32"/>
  <c r="U98" i="32"/>
  <c r="Z98" i="32"/>
  <c r="Z115" i="32"/>
  <c r="Z118" i="32"/>
  <c r="M100" i="32"/>
  <c r="AB102" i="32"/>
  <c r="X102" i="32"/>
  <c r="T102" i="32"/>
  <c r="T115" i="32"/>
  <c r="T118" i="32"/>
  <c r="P102" i="32"/>
  <c r="L102" i="32"/>
  <c r="AA102" i="32"/>
  <c r="W102" i="32"/>
  <c r="S102" i="32"/>
  <c r="O102" i="32"/>
  <c r="K102" i="32"/>
  <c r="Q102" i="32"/>
  <c r="Y102" i="32"/>
  <c r="J105" i="32"/>
  <c r="N109" i="33"/>
  <c r="Z33" i="33"/>
  <c r="I34" i="33"/>
  <c r="J34" i="33"/>
  <c r="Q110" i="33"/>
  <c r="AK36" i="33"/>
  <c r="AN36" i="33"/>
  <c r="S108" i="33"/>
  <c r="S106" i="33"/>
  <c r="J84" i="33"/>
  <c r="AK83" i="33"/>
  <c r="AN83" i="33"/>
  <c r="W108" i="33"/>
  <c r="W106" i="33"/>
  <c r="AA108" i="33"/>
  <c r="AA106" i="33"/>
  <c r="I89" i="33"/>
  <c r="J89" i="33"/>
  <c r="AB100" i="32"/>
  <c r="X100" i="32"/>
  <c r="X115" i="32"/>
  <c r="X118" i="32"/>
  <c r="T100" i="32"/>
  <c r="P100" i="32"/>
  <c r="L100" i="32"/>
  <c r="L115" i="32"/>
  <c r="L118" i="32"/>
  <c r="AA100" i="32"/>
  <c r="W100" i="32"/>
  <c r="W115" i="32"/>
  <c r="W118" i="32"/>
  <c r="S100" i="32"/>
  <c r="S115" i="32"/>
  <c r="S118" i="32"/>
  <c r="O100" i="32"/>
  <c r="O115" i="32"/>
  <c r="O118" i="32"/>
  <c r="K100" i="32"/>
  <c r="J100" i="32"/>
  <c r="Y100" i="32"/>
  <c r="P107" i="33"/>
  <c r="P106" i="33"/>
  <c r="R30" i="32"/>
  <c r="W33" i="32"/>
  <c r="T43" i="32"/>
  <c r="O26" i="32"/>
  <c r="O30" i="32"/>
  <c r="O33" i="32"/>
  <c r="U33" i="32"/>
  <c r="Y33" i="32"/>
  <c r="T39" i="32"/>
  <c r="X39" i="32"/>
  <c r="S41" i="32"/>
  <c r="J41" i="32"/>
  <c r="W41" i="32"/>
  <c r="R43" i="32"/>
  <c r="V43" i="32"/>
  <c r="S45" i="32"/>
  <c r="J45" i="32"/>
  <c r="W45" i="32"/>
  <c r="X49" i="32"/>
  <c r="V54" i="32"/>
  <c r="W68" i="32"/>
  <c r="P97" i="32"/>
  <c r="P98" i="32"/>
  <c r="P115" i="32"/>
  <c r="P118" i="32"/>
  <c r="N98" i="32"/>
  <c r="R98" i="32"/>
  <c r="V98" i="32"/>
  <c r="AA98" i="32"/>
  <c r="N100" i="32"/>
  <c r="V100" i="32"/>
  <c r="R102" i="32"/>
  <c r="Z102" i="32"/>
  <c r="I105" i="32"/>
  <c r="K110" i="32"/>
  <c r="K112" i="32"/>
  <c r="K114" i="32"/>
  <c r="S28" i="33"/>
  <c r="S109" i="33"/>
  <c r="AI28" i="33"/>
  <c r="R28" i="33"/>
  <c r="U28" i="33"/>
  <c r="J29" i="33"/>
  <c r="I29" i="33"/>
  <c r="J35" i="33"/>
  <c r="Y41" i="33"/>
  <c r="U41" i="33"/>
  <c r="P41" i="33"/>
  <c r="X41" i="33"/>
  <c r="T41" i="33"/>
  <c r="V41" i="33"/>
  <c r="V95" i="33"/>
  <c r="AI41" i="33"/>
  <c r="R41" i="33"/>
  <c r="Z41" i="33"/>
  <c r="Q41" i="33"/>
  <c r="AI43" i="33"/>
  <c r="X114" i="32"/>
  <c r="AB114" i="32"/>
  <c r="O26" i="33"/>
  <c r="P30" i="33"/>
  <c r="J30" i="33"/>
  <c r="N33" i="33"/>
  <c r="S33" i="33"/>
  <c r="AK32" i="33"/>
  <c r="AN32" i="33"/>
  <c r="W33" i="33"/>
  <c r="AA33" i="33"/>
  <c r="Q107" i="33"/>
  <c r="Q106" i="33"/>
  <c r="J37" i="33"/>
  <c r="J60" i="33"/>
  <c r="I60" i="33"/>
  <c r="V110" i="33"/>
  <c r="J93" i="33"/>
  <c r="I93" i="33"/>
  <c r="P94" i="33"/>
  <c r="P113" i="33"/>
  <c r="M106" i="32"/>
  <c r="J106" i="32"/>
  <c r="Q106" i="32"/>
  <c r="W106" i="32"/>
  <c r="AK106" i="32"/>
  <c r="AK107" i="32"/>
  <c r="AA106" i="32"/>
  <c r="M108" i="32"/>
  <c r="J108" i="32"/>
  <c r="Q108" i="32"/>
  <c r="U108" i="32"/>
  <c r="Y108" i="32"/>
  <c r="M110" i="32"/>
  <c r="Q110" i="32"/>
  <c r="U110" i="32"/>
  <c r="Y110" i="32"/>
  <c r="M112" i="32"/>
  <c r="Q112" i="32"/>
  <c r="U112" i="32"/>
  <c r="Y112" i="32"/>
  <c r="M114" i="32"/>
  <c r="Q114" i="32"/>
  <c r="U114" i="32"/>
  <c r="Y114" i="32"/>
  <c r="I109" i="33"/>
  <c r="I95" i="33"/>
  <c r="K96" i="33"/>
  <c r="P26" i="33"/>
  <c r="T26" i="33"/>
  <c r="X109" i="33"/>
  <c r="J38" i="33"/>
  <c r="P39" i="33"/>
  <c r="J39" i="33"/>
  <c r="I38" i="33"/>
  <c r="Y45" i="33"/>
  <c r="U45" i="33"/>
  <c r="Q45" i="33"/>
  <c r="X45" i="33"/>
  <c r="X95" i="33"/>
  <c r="T45" i="33"/>
  <c r="W45" i="33"/>
  <c r="Z47" i="33"/>
  <c r="V47" i="33"/>
  <c r="R47" i="33"/>
  <c r="Y47" i="33"/>
  <c r="U47" i="33"/>
  <c r="X47" i="33"/>
  <c r="V107" i="33"/>
  <c r="Z106" i="33"/>
  <c r="AK57" i="33"/>
  <c r="AN57" i="33"/>
  <c r="S110" i="33"/>
  <c r="J86" i="33"/>
  <c r="J110" i="33"/>
  <c r="AK85" i="33"/>
  <c r="AN85" i="33"/>
  <c r="W110" i="33"/>
  <c r="N112" i="33"/>
  <c r="N106" i="32"/>
  <c r="S106" i="32"/>
  <c r="X106" i="32"/>
  <c r="N108" i="32"/>
  <c r="R108" i="32"/>
  <c r="V108" i="32"/>
  <c r="N110" i="32"/>
  <c r="R110" i="32"/>
  <c r="V110" i="32"/>
  <c r="N112" i="32"/>
  <c r="R112" i="32"/>
  <c r="V112" i="32"/>
  <c r="N114" i="32"/>
  <c r="R114" i="32"/>
  <c r="V114" i="32"/>
  <c r="Q26" i="33"/>
  <c r="AK28" i="33"/>
  <c r="AN28" i="33"/>
  <c r="P33" i="33"/>
  <c r="U33" i="33"/>
  <c r="Y33" i="33"/>
  <c r="O107" i="33"/>
  <c r="O106" i="33"/>
  <c r="J36" i="33"/>
  <c r="R45" i="33"/>
  <c r="R109" i="33"/>
  <c r="R105" i="33"/>
  <c r="Z45" i="33"/>
  <c r="S47" i="33"/>
  <c r="AI47" i="33"/>
  <c r="AI54" i="33"/>
  <c r="X54" i="33"/>
  <c r="T54" i="33"/>
  <c r="W54" i="33"/>
  <c r="S54" i="33"/>
  <c r="Z54" i="33"/>
  <c r="V54" i="33"/>
  <c r="S107" i="33"/>
  <c r="J56" i="33"/>
  <c r="J107" i="33"/>
  <c r="AK55" i="33"/>
  <c r="AN55" i="33"/>
  <c r="W107" i="33"/>
  <c r="AI95" i="33"/>
  <c r="T107" i="33"/>
  <c r="X107" i="33"/>
  <c r="Y111" i="33"/>
  <c r="S111" i="33"/>
  <c r="T110" i="33"/>
  <c r="X110" i="33"/>
  <c r="J88" i="33"/>
  <c r="V106" i="33"/>
  <c r="N107" i="33"/>
  <c r="U107" i="33"/>
  <c r="Y107" i="33"/>
  <c r="V64" i="33"/>
  <c r="V111" i="33"/>
  <c r="Z64" i="33"/>
  <c r="Z111" i="33"/>
  <c r="X66" i="33"/>
  <c r="X111" i="33"/>
  <c r="T68" i="33"/>
  <c r="X68" i="33"/>
  <c r="X106" i="33"/>
  <c r="Y106" i="33"/>
  <c r="U110" i="33"/>
  <c r="Y110" i="33"/>
  <c r="U112" i="33"/>
  <c r="V99" i="33"/>
  <c r="L97" i="33"/>
  <c r="N111" i="33"/>
  <c r="Q39" i="33"/>
  <c r="AK38" i="33"/>
  <c r="AN38" i="33"/>
  <c r="U39" i="33"/>
  <c r="V51" i="33"/>
  <c r="P61" i="33"/>
  <c r="T61" i="33"/>
  <c r="AK60" i="33"/>
  <c r="AN60" i="33"/>
  <c r="X61" i="33"/>
  <c r="W64" i="33"/>
  <c r="AA64" i="33"/>
  <c r="AA111" i="33"/>
  <c r="U66" i="33"/>
  <c r="U111" i="33"/>
  <c r="Y66" i="33"/>
  <c r="I108" i="33"/>
  <c r="I106" i="33"/>
  <c r="U68" i="33"/>
  <c r="U108" i="33"/>
  <c r="Y68" i="33"/>
  <c r="Y108" i="33"/>
  <c r="I113" i="33"/>
  <c r="AA94" i="33"/>
  <c r="AA113" i="33"/>
  <c r="W94" i="33"/>
  <c r="W113" i="33"/>
  <c r="S94" i="33"/>
  <c r="S113" i="33"/>
  <c r="O94" i="33"/>
  <c r="O113" i="33"/>
  <c r="Z94" i="33"/>
  <c r="Z113" i="33"/>
  <c r="V94" i="33"/>
  <c r="V113" i="33"/>
  <c r="R94" i="33"/>
  <c r="R113" i="33"/>
  <c r="N94" i="33"/>
  <c r="Y94" i="33"/>
  <c r="Y113" i="33"/>
  <c r="U94" i="33"/>
  <c r="U113" i="33"/>
  <c r="Q94" i="33"/>
  <c r="AI94" i="33"/>
  <c r="V101" i="33"/>
  <c r="V102" i="33"/>
  <c r="V88" i="33"/>
  <c r="AK87" i="33"/>
  <c r="AN87" i="33"/>
  <c r="Z88" i="33"/>
  <c r="P90" i="33"/>
  <c r="P111" i="33"/>
  <c r="T90" i="33"/>
  <c r="T111" i="33"/>
  <c r="X90" i="33"/>
  <c r="AI90" i="33"/>
  <c r="P92" i="33"/>
  <c r="P112" i="33"/>
  <c r="W92" i="33"/>
  <c r="W112" i="33"/>
  <c r="AA92" i="33"/>
  <c r="W88" i="33"/>
  <c r="Q90" i="33"/>
  <c r="U90" i="33"/>
  <c r="T92" i="33"/>
  <c r="X92" i="33"/>
  <c r="X112" i="33"/>
  <c r="AI92" i="33"/>
  <c r="X86" i="35"/>
  <c r="Z84" i="35"/>
  <c r="AA84" i="35"/>
  <c r="J41" i="35"/>
  <c r="AA118" i="35"/>
  <c r="X84" i="35"/>
  <c r="Z89" i="35"/>
  <c r="J33" i="35"/>
  <c r="J28" i="35"/>
  <c r="W81" i="35"/>
  <c r="AA89" i="35"/>
  <c r="AA126" i="35"/>
  <c r="P84" i="35"/>
  <c r="J43" i="35"/>
  <c r="U115" i="35"/>
  <c r="U118" i="35"/>
  <c r="X115" i="35"/>
  <c r="X85" i="35"/>
  <c r="S84" i="35"/>
  <c r="S73" i="35"/>
  <c r="M115" i="35"/>
  <c r="M118" i="35"/>
  <c r="V115" i="35"/>
  <c r="V118" i="35"/>
  <c r="J110" i="35"/>
  <c r="W86" i="35"/>
  <c r="AJ72" i="35"/>
  <c r="X72" i="35"/>
  <c r="X87" i="35"/>
  <c r="T72" i="35"/>
  <c r="T87" i="35"/>
  <c r="P72" i="35"/>
  <c r="P87" i="35"/>
  <c r="AA72" i="35"/>
  <c r="AA87" i="35"/>
  <c r="W72" i="35"/>
  <c r="W87" i="35"/>
  <c r="S72" i="35"/>
  <c r="S87" i="35"/>
  <c r="O72" i="35"/>
  <c r="U72" i="35"/>
  <c r="U87" i="35"/>
  <c r="Z72" i="35"/>
  <c r="Z87" i="35"/>
  <c r="R72" i="35"/>
  <c r="R87" i="35"/>
  <c r="Y72" i="35"/>
  <c r="Y87" i="35"/>
  <c r="Q72" i="35"/>
  <c r="Q87" i="35"/>
  <c r="V72" i="35"/>
  <c r="V87" i="35"/>
  <c r="J100" i="35"/>
  <c r="J108" i="35"/>
  <c r="Q115" i="35"/>
  <c r="Q118" i="35"/>
  <c r="R84" i="35"/>
  <c r="R73" i="35"/>
  <c r="AL98" i="35"/>
  <c r="L115" i="35"/>
  <c r="L118" i="35"/>
  <c r="AB115" i="35"/>
  <c r="AB118" i="35"/>
  <c r="U84" i="35"/>
  <c r="O86" i="35"/>
  <c r="J70" i="35"/>
  <c r="J64" i="35"/>
  <c r="V86" i="35"/>
  <c r="J68" i="35"/>
  <c r="I32" i="35"/>
  <c r="AA73" i="35"/>
  <c r="T115" i="35"/>
  <c r="T118" i="35"/>
  <c r="V120" i="35"/>
  <c r="J112" i="35"/>
  <c r="J39" i="35"/>
  <c r="J26" i="35"/>
  <c r="O84" i="35"/>
  <c r="O73" i="35"/>
  <c r="Z115" i="35"/>
  <c r="P85" i="35"/>
  <c r="J35" i="35"/>
  <c r="V84" i="35"/>
  <c r="J98" i="35"/>
  <c r="K115" i="35"/>
  <c r="J45" i="35"/>
  <c r="P73" i="35"/>
  <c r="J69" i="35"/>
  <c r="J47" i="35"/>
  <c r="AB84" i="35"/>
  <c r="AB89" i="35"/>
  <c r="AB126" i="35"/>
  <c r="AB73" i="35"/>
  <c r="O115" i="35"/>
  <c r="O118" i="35"/>
  <c r="J114" i="35"/>
  <c r="J102" i="35"/>
  <c r="T79" i="35"/>
  <c r="T80" i="35"/>
  <c r="T81" i="35"/>
  <c r="W84" i="35"/>
  <c r="Y84" i="35"/>
  <c r="Y89" i="35"/>
  <c r="Y115" i="35"/>
  <c r="N115" i="35"/>
  <c r="N118" i="35"/>
  <c r="S115" i="35"/>
  <c r="S118" i="35"/>
  <c r="W85" i="35"/>
  <c r="J49" i="35"/>
  <c r="Q84" i="35"/>
  <c r="Q73" i="35"/>
  <c r="J66" i="35"/>
  <c r="J85" i="35"/>
  <c r="AJ73" i="35"/>
  <c r="X105" i="33"/>
  <c r="AB120" i="32"/>
  <c r="I99" i="33"/>
  <c r="Q109" i="33"/>
  <c r="Q95" i="33"/>
  <c r="AK25" i="33"/>
  <c r="AN25" i="33"/>
  <c r="U109" i="33"/>
  <c r="U95" i="33"/>
  <c r="V115" i="32"/>
  <c r="V118" i="32"/>
  <c r="S95" i="33"/>
  <c r="AA72" i="32"/>
  <c r="AA87" i="32"/>
  <c r="W72" i="32"/>
  <c r="W87" i="32"/>
  <c r="S72" i="32"/>
  <c r="S87" i="32"/>
  <c r="O72" i="32"/>
  <c r="Z72" i="32"/>
  <c r="Z87" i="32"/>
  <c r="V72" i="32"/>
  <c r="V87" i="32"/>
  <c r="R72" i="32"/>
  <c r="R87" i="32"/>
  <c r="Y72" i="32"/>
  <c r="Y87" i="32"/>
  <c r="U72" i="32"/>
  <c r="U87" i="32"/>
  <c r="Q72" i="32"/>
  <c r="Q87" i="32"/>
  <c r="T72" i="32"/>
  <c r="T87" i="32"/>
  <c r="P72" i="32"/>
  <c r="P87" i="32"/>
  <c r="AI72" i="32"/>
  <c r="X72" i="32"/>
  <c r="X87" i="32"/>
  <c r="M78" i="32"/>
  <c r="J98" i="32"/>
  <c r="T86" i="32"/>
  <c r="J62" i="32"/>
  <c r="Z84" i="32"/>
  <c r="Q111" i="33"/>
  <c r="AK89" i="33"/>
  <c r="AN89" i="33"/>
  <c r="I116" i="33"/>
  <c r="I118" i="33"/>
  <c r="J61" i="33"/>
  <c r="AK67" i="33"/>
  <c r="AN67" i="33"/>
  <c r="J68" i="33"/>
  <c r="J108" i="33"/>
  <c r="T106" i="33"/>
  <c r="J92" i="33"/>
  <c r="J112" i="33"/>
  <c r="T109" i="33"/>
  <c r="T95" i="33"/>
  <c r="J33" i="33"/>
  <c r="AK27" i="33"/>
  <c r="AN27" i="33"/>
  <c r="J28" i="33"/>
  <c r="R95" i="33"/>
  <c r="R115" i="32"/>
  <c r="R118" i="32"/>
  <c r="J33" i="32"/>
  <c r="W84" i="32"/>
  <c r="V109" i="33"/>
  <c r="V105" i="33"/>
  <c r="J106" i="33"/>
  <c r="Z95" i="33"/>
  <c r="Z97" i="33"/>
  <c r="Z100" i="33"/>
  <c r="Z109" i="33"/>
  <c r="Z105" i="33"/>
  <c r="N95" i="33"/>
  <c r="J102" i="32"/>
  <c r="U115" i="32"/>
  <c r="U118" i="32"/>
  <c r="V120" i="32"/>
  <c r="J68" i="32"/>
  <c r="U84" i="32"/>
  <c r="AK48" i="33"/>
  <c r="AN48" i="33"/>
  <c r="J49" i="33"/>
  <c r="J43" i="33"/>
  <c r="AI66" i="32"/>
  <c r="X66" i="32"/>
  <c r="X85" i="32"/>
  <c r="T66" i="32"/>
  <c r="T73" i="32"/>
  <c r="I85" i="32"/>
  <c r="AA66" i="32"/>
  <c r="AA85" i="32"/>
  <c r="W66" i="32"/>
  <c r="W85" i="32"/>
  <c r="Z66" i="32"/>
  <c r="Z85" i="32"/>
  <c r="V66" i="32"/>
  <c r="V85" i="32"/>
  <c r="U66" i="32"/>
  <c r="U85" i="32"/>
  <c r="Y66" i="32"/>
  <c r="Y85" i="32"/>
  <c r="J64" i="32"/>
  <c r="AA86" i="32"/>
  <c r="J52" i="32"/>
  <c r="S73" i="32"/>
  <c r="I97" i="32"/>
  <c r="V86" i="32"/>
  <c r="V73" i="32"/>
  <c r="AK53" i="33"/>
  <c r="AN53" i="33"/>
  <c r="J54" i="33"/>
  <c r="Y109" i="33"/>
  <c r="Y95" i="33"/>
  <c r="J110" i="32"/>
  <c r="J94" i="33"/>
  <c r="J113" i="33"/>
  <c r="N113" i="33"/>
  <c r="N105" i="33"/>
  <c r="W111" i="33"/>
  <c r="AK50" i="33"/>
  <c r="AN50" i="33"/>
  <c r="J51" i="33"/>
  <c r="U106" i="33"/>
  <c r="U105" i="33"/>
  <c r="J90" i="33"/>
  <c r="T108" i="33"/>
  <c r="AK46" i="33"/>
  <c r="AN46" i="33"/>
  <c r="J47" i="33"/>
  <c r="P109" i="33"/>
  <c r="P95" i="33"/>
  <c r="AA109" i="33"/>
  <c r="AA105" i="33"/>
  <c r="AA117" i="33"/>
  <c r="AA95" i="33"/>
  <c r="AA97" i="33"/>
  <c r="AA100" i="33"/>
  <c r="J41" i="33"/>
  <c r="J114" i="32"/>
  <c r="N115" i="32"/>
  <c r="N118" i="32"/>
  <c r="J43" i="32"/>
  <c r="J30" i="32"/>
  <c r="S105" i="33"/>
  <c r="Q115" i="32"/>
  <c r="Q118" i="32"/>
  <c r="Y115" i="32"/>
  <c r="Y118" i="32"/>
  <c r="X84" i="32"/>
  <c r="X89" i="32"/>
  <c r="X126" i="32"/>
  <c r="X73" i="32"/>
  <c r="AK63" i="33"/>
  <c r="AN63" i="33"/>
  <c r="AK42" i="33"/>
  <c r="AN42" i="33"/>
  <c r="J97" i="32"/>
  <c r="K115" i="32"/>
  <c r="J35" i="32"/>
  <c r="O85" i="32"/>
  <c r="AK30" i="32"/>
  <c r="R85" i="32"/>
  <c r="AK35" i="32"/>
  <c r="X86" i="32"/>
  <c r="Z86" i="32"/>
  <c r="J37" i="32"/>
  <c r="AK65" i="33"/>
  <c r="AN65" i="33"/>
  <c r="J66" i="33"/>
  <c r="Y105" i="33"/>
  <c r="X108" i="33"/>
  <c r="AK44" i="33"/>
  <c r="AN44" i="33"/>
  <c r="J45" i="33"/>
  <c r="Q105" i="33"/>
  <c r="AB115" i="32"/>
  <c r="AB118" i="32"/>
  <c r="AB126" i="32"/>
  <c r="T112" i="33"/>
  <c r="AK91" i="33"/>
  <c r="AN91" i="33"/>
  <c r="AB99" i="33"/>
  <c r="AB100" i="33"/>
  <c r="AA112" i="33"/>
  <c r="Q113" i="33"/>
  <c r="AK93" i="33"/>
  <c r="AN93" i="33"/>
  <c r="K100" i="33"/>
  <c r="W109" i="33"/>
  <c r="W105" i="33"/>
  <c r="W95" i="33"/>
  <c r="O109" i="33"/>
  <c r="O105" i="33"/>
  <c r="O95" i="33"/>
  <c r="AK40" i="33"/>
  <c r="AN40" i="33"/>
  <c r="J112" i="32"/>
  <c r="AA115" i="32"/>
  <c r="AA118" i="32"/>
  <c r="Y84" i="32"/>
  <c r="Y89" i="32"/>
  <c r="Y126" i="32"/>
  <c r="O84" i="32"/>
  <c r="J26" i="32"/>
  <c r="P105" i="33"/>
  <c r="J26" i="33"/>
  <c r="M115" i="32"/>
  <c r="M118" i="32"/>
  <c r="AK98" i="32"/>
  <c r="R84" i="32"/>
  <c r="R73" i="32"/>
  <c r="Q84" i="32"/>
  <c r="Q73" i="32"/>
  <c r="J64" i="33"/>
  <c r="J111" i="33"/>
  <c r="I73" i="32"/>
  <c r="AA84" i="32"/>
  <c r="AA89" i="32"/>
  <c r="AA126" i="32"/>
  <c r="AA73" i="32"/>
  <c r="AK37" i="32"/>
  <c r="AI73" i="32"/>
  <c r="K79" i="32"/>
  <c r="J47" i="32"/>
  <c r="U86" i="32"/>
  <c r="J60" i="32"/>
  <c r="Y73" i="35"/>
  <c r="J86" i="35"/>
  <c r="X89" i="35"/>
  <c r="Y118" i="35"/>
  <c r="X118" i="35"/>
  <c r="AB120" i="35"/>
  <c r="Z118" i="35"/>
  <c r="Z126" i="35"/>
  <c r="Y126" i="35"/>
  <c r="R76" i="35"/>
  <c r="R77" i="35"/>
  <c r="R75" i="35"/>
  <c r="R78" i="35"/>
  <c r="T77" i="35"/>
  <c r="T76" i="35"/>
  <c r="K118" i="35"/>
  <c r="J115" i="35"/>
  <c r="J118" i="35"/>
  <c r="J120" i="35"/>
  <c r="AB75" i="35"/>
  <c r="AB78" i="35"/>
  <c r="AB77" i="35"/>
  <c r="S77" i="35"/>
  <c r="S75" i="35"/>
  <c r="S78" i="35"/>
  <c r="S76" i="35"/>
  <c r="W73" i="35"/>
  <c r="J84" i="35"/>
  <c r="AD25" i="35"/>
  <c r="I25" i="35"/>
  <c r="U73" i="35"/>
  <c r="O87" i="35"/>
  <c r="J72" i="35"/>
  <c r="J87" i="35"/>
  <c r="X73" i="35"/>
  <c r="P75" i="35"/>
  <c r="O76" i="35"/>
  <c r="O77" i="35"/>
  <c r="Z77" i="35"/>
  <c r="Z75" i="35"/>
  <c r="Z78" i="35"/>
  <c r="W89" i="35"/>
  <c r="W126" i="35"/>
  <c r="AC75" i="35"/>
  <c r="AC77" i="35"/>
  <c r="Q76" i="35"/>
  <c r="Q75" i="35"/>
  <c r="Q77" i="35"/>
  <c r="V73" i="35"/>
  <c r="T73" i="35"/>
  <c r="Z73" i="35"/>
  <c r="U76" i="32"/>
  <c r="U77" i="32"/>
  <c r="U75" i="32"/>
  <c r="U78" i="32"/>
  <c r="AB75" i="32"/>
  <c r="AB77" i="32"/>
  <c r="Y77" i="32"/>
  <c r="Y75" i="32"/>
  <c r="Y78" i="32"/>
  <c r="Z89" i="32"/>
  <c r="Z126" i="32"/>
  <c r="M79" i="32"/>
  <c r="M80" i="32"/>
  <c r="M81" i="32"/>
  <c r="O87" i="32"/>
  <c r="J72" i="32"/>
  <c r="J87" i="32"/>
  <c r="O73" i="32"/>
  <c r="AB101" i="33"/>
  <c r="AB102" i="33"/>
  <c r="Z101" i="33"/>
  <c r="Z102" i="33"/>
  <c r="W73" i="32"/>
  <c r="T105" i="33"/>
  <c r="AK94" i="33"/>
  <c r="AN94" i="33"/>
  <c r="AG95" i="33"/>
  <c r="AG96" i="33"/>
  <c r="J84" i="32"/>
  <c r="J89" i="32"/>
  <c r="AC25" i="32"/>
  <c r="I25" i="32"/>
  <c r="J115" i="32"/>
  <c r="J118" i="32"/>
  <c r="J120" i="32"/>
  <c r="K118" i="32"/>
  <c r="W77" i="32"/>
  <c r="W75" i="32"/>
  <c r="W78" i="32"/>
  <c r="K80" i="32"/>
  <c r="P73" i="32"/>
  <c r="S77" i="32"/>
  <c r="S75" i="32"/>
  <c r="S78" i="32"/>
  <c r="S76" i="32"/>
  <c r="J109" i="33"/>
  <c r="J116" i="33"/>
  <c r="J118" i="33"/>
  <c r="J95" i="33"/>
  <c r="M96" i="33"/>
  <c r="U73" i="32"/>
  <c r="W89" i="32"/>
  <c r="W126" i="32"/>
  <c r="Z73" i="32"/>
  <c r="R76" i="32"/>
  <c r="R77" i="32"/>
  <c r="R75" i="32"/>
  <c r="R78" i="32"/>
  <c r="K102" i="33"/>
  <c r="K101" i="33"/>
  <c r="T85" i="32"/>
  <c r="J66" i="32"/>
  <c r="J85" i="32"/>
  <c r="J86" i="32"/>
  <c r="Y73" i="32"/>
  <c r="AA101" i="33"/>
  <c r="AA102" i="33"/>
  <c r="T75" i="32"/>
  <c r="T78" i="32"/>
  <c r="T76" i="32"/>
  <c r="T77" i="32"/>
  <c r="N103" i="33"/>
  <c r="X126" i="35"/>
  <c r="U76" i="35"/>
  <c r="U77" i="35"/>
  <c r="S79" i="35"/>
  <c r="S80" i="35"/>
  <c r="S81" i="35"/>
  <c r="I76" i="35"/>
  <c r="J73" i="35"/>
  <c r="AB79" i="35"/>
  <c r="AB80" i="35"/>
  <c r="R79" i="35"/>
  <c r="R80" i="35"/>
  <c r="Z79" i="35"/>
  <c r="Z80" i="35"/>
  <c r="V76" i="35"/>
  <c r="V77" i="35"/>
  <c r="U75" i="35"/>
  <c r="U78" i="35"/>
  <c r="J89" i="35"/>
  <c r="AA77" i="35"/>
  <c r="AA75" i="35"/>
  <c r="AA78" i="35"/>
  <c r="W77" i="35"/>
  <c r="V75" i="35"/>
  <c r="V78" i="35"/>
  <c r="Y77" i="35"/>
  <c r="AL73" i="35"/>
  <c r="X77" i="35"/>
  <c r="AH73" i="35"/>
  <c r="AH75" i="35"/>
  <c r="Z77" i="32"/>
  <c r="Z75" i="32"/>
  <c r="Z78" i="32"/>
  <c r="X75" i="32"/>
  <c r="X78" i="32"/>
  <c r="X77" i="32"/>
  <c r="AK73" i="32"/>
  <c r="O103" i="33"/>
  <c r="N98" i="33"/>
  <c r="T79" i="32"/>
  <c r="T80" i="32"/>
  <c r="T81" i="32"/>
  <c r="R79" i="32"/>
  <c r="R80" i="32"/>
  <c r="M100" i="33"/>
  <c r="I96" i="33"/>
  <c r="S80" i="32"/>
  <c r="S81" i="32"/>
  <c r="S79" i="32"/>
  <c r="U79" i="32"/>
  <c r="U80" i="32"/>
  <c r="U81" i="32"/>
  <c r="AA77" i="32"/>
  <c r="AA75" i="32"/>
  <c r="AA78" i="32"/>
  <c r="Y79" i="32"/>
  <c r="Y80" i="32"/>
  <c r="Y81" i="32"/>
  <c r="W80" i="32"/>
  <c r="W79" i="32"/>
  <c r="P75" i="32"/>
  <c r="O76" i="32"/>
  <c r="O77" i="32"/>
  <c r="I77" i="32"/>
  <c r="AB78" i="32"/>
  <c r="V76" i="32"/>
  <c r="V77" i="32"/>
  <c r="V75" i="32"/>
  <c r="V78" i="32"/>
  <c r="AG73" i="32"/>
  <c r="AG75" i="32"/>
  <c r="Q76" i="32"/>
  <c r="Q77" i="32"/>
  <c r="Q75" i="32"/>
  <c r="J73" i="32"/>
  <c r="I77" i="35"/>
  <c r="Z81" i="35"/>
  <c r="AB81" i="35"/>
  <c r="AC79" i="35"/>
  <c r="AC80" i="35"/>
  <c r="V79" i="35"/>
  <c r="V80" i="35"/>
  <c r="V81" i="35"/>
  <c r="U80" i="35"/>
  <c r="U81" i="35"/>
  <c r="U79" i="35"/>
  <c r="AA79" i="35"/>
  <c r="AA80" i="35"/>
  <c r="X79" i="35"/>
  <c r="I75" i="35"/>
  <c r="R81" i="35"/>
  <c r="Y79" i="35"/>
  <c r="Y80" i="35"/>
  <c r="Q74" i="35"/>
  <c r="Q78" i="35"/>
  <c r="P74" i="35"/>
  <c r="R81" i="32"/>
  <c r="AB79" i="32"/>
  <c r="AB80" i="32"/>
  <c r="AB81" i="32"/>
  <c r="W81" i="32"/>
  <c r="P103" i="33"/>
  <c r="O98" i="33"/>
  <c r="O97" i="33"/>
  <c r="O100" i="33"/>
  <c r="I76" i="32"/>
  <c r="Q74" i="32"/>
  <c r="Q78" i="32"/>
  <c r="P74" i="32"/>
  <c r="I75" i="32"/>
  <c r="M101" i="33"/>
  <c r="M102" i="33"/>
  <c r="Z79" i="32"/>
  <c r="Z80" i="32"/>
  <c r="Z81" i="32"/>
  <c r="X79" i="32"/>
  <c r="X80" i="32"/>
  <c r="V80" i="32"/>
  <c r="V81" i="32"/>
  <c r="V79" i="32"/>
  <c r="AA79" i="32"/>
  <c r="AA80" i="32"/>
  <c r="AA81" i="32"/>
  <c r="N97" i="33"/>
  <c r="X80" i="35"/>
  <c r="AA81" i="35"/>
  <c r="Y81" i="35"/>
  <c r="AC81" i="35"/>
  <c r="X81" i="35"/>
  <c r="AM78" i="35"/>
  <c r="P78" i="35"/>
  <c r="I74" i="35"/>
  <c r="AL78" i="35"/>
  <c r="Q79" i="35"/>
  <c r="Q80" i="35"/>
  <c r="Q81" i="35"/>
  <c r="X81" i="32"/>
  <c r="AL78" i="32"/>
  <c r="P78" i="32"/>
  <c r="I74" i="32"/>
  <c r="P98" i="33"/>
  <c r="Q103" i="33"/>
  <c r="O102" i="33"/>
  <c r="O101" i="33"/>
  <c r="Q79" i="32"/>
  <c r="Q80" i="32"/>
  <c r="Q81" i="32"/>
  <c r="AK78" i="32"/>
  <c r="AM78" i="32"/>
  <c r="N100" i="33"/>
  <c r="AN78" i="35"/>
  <c r="P79" i="35"/>
  <c r="I79" i="35"/>
  <c r="I78" i="35"/>
  <c r="I81" i="35"/>
  <c r="R103" i="33"/>
  <c r="Q98" i="33"/>
  <c r="Q97" i="33"/>
  <c r="Q100" i="33"/>
  <c r="P97" i="33"/>
  <c r="P100" i="33"/>
  <c r="P79" i="32"/>
  <c r="I79" i="32"/>
  <c r="I78" i="32"/>
  <c r="N101" i="33"/>
  <c r="P80" i="35"/>
  <c r="P101" i="33"/>
  <c r="P102" i="33"/>
  <c r="Q101" i="33"/>
  <c r="Q102" i="33"/>
  <c r="N102" i="33"/>
  <c r="P80" i="32"/>
  <c r="S103" i="33"/>
  <c r="R98" i="33"/>
  <c r="P81" i="35"/>
  <c r="I80" i="35"/>
  <c r="R97" i="33"/>
  <c r="R100" i="33"/>
  <c r="P81" i="32"/>
  <c r="I80" i="32"/>
  <c r="T103" i="33"/>
  <c r="S98" i="33"/>
  <c r="S97" i="33"/>
  <c r="S100" i="33"/>
  <c r="S101" i="33"/>
  <c r="S102" i="33"/>
  <c r="T98" i="33"/>
  <c r="T97" i="33"/>
  <c r="T100" i="33"/>
  <c r="U103" i="33"/>
  <c r="R101" i="33"/>
  <c r="R102" i="33"/>
  <c r="V103" i="33"/>
  <c r="U98" i="33"/>
  <c r="U97" i="33"/>
  <c r="U100" i="33"/>
  <c r="T101" i="33"/>
  <c r="T102" i="33"/>
  <c r="U101" i="33"/>
  <c r="U102" i="33"/>
  <c r="W103" i="33"/>
  <c r="V98" i="33"/>
  <c r="V104" i="33"/>
  <c r="X103" i="33"/>
  <c r="W98" i="33"/>
  <c r="X98" i="33"/>
  <c r="Y103" i="33"/>
  <c r="Z103" i="33"/>
  <c r="AA103" i="33"/>
  <c r="AB103" i="33"/>
  <c r="Y98" i="33"/>
  <c r="Y97" i="33"/>
  <c r="I98" i="33"/>
  <c r="Y100" i="33"/>
  <c r="I97" i="33"/>
  <c r="Y101" i="33"/>
  <c r="I101" i="33"/>
  <c r="I100" i="33"/>
  <c r="Y102" i="33"/>
  <c r="I102" i="33"/>
  <c r="AG31" i="28"/>
  <c r="AE56" i="28"/>
  <c r="R56" i="28"/>
  <c r="E56" i="28"/>
  <c r="AD55" i="28"/>
  <c r="AC55" i="28"/>
  <c r="AB55" i="28"/>
  <c r="AA55" i="28"/>
  <c r="Z55" i="28"/>
  <c r="Y55" i="28"/>
  <c r="X55" i="28"/>
  <c r="W55" i="28"/>
  <c r="V55" i="28"/>
  <c r="U55" i="28"/>
  <c r="T55" i="28"/>
  <c r="S55" i="28"/>
  <c r="Q55" i="28"/>
  <c r="P55" i="28"/>
  <c r="O55" i="28"/>
  <c r="O52" i="28"/>
  <c r="N55" i="28"/>
  <c r="M55" i="28"/>
  <c r="L55" i="28"/>
  <c r="K55" i="28"/>
  <c r="J55" i="28"/>
  <c r="I55" i="28"/>
  <c r="H55" i="28"/>
  <c r="G55" i="28"/>
  <c r="G52" i="28"/>
  <c r="F55" i="28"/>
  <c r="D55" i="28"/>
  <c r="C55" i="28"/>
  <c r="B55" i="28"/>
  <c r="AE54" i="28"/>
  <c r="AE53" i="28"/>
  <c r="R54" i="28"/>
  <c r="R53" i="28"/>
  <c r="E54" i="28"/>
  <c r="AD53" i="28"/>
  <c r="AD52" i="28"/>
  <c r="AC53" i="28"/>
  <c r="AB53" i="28"/>
  <c r="AA53" i="28"/>
  <c r="Z53" i="28"/>
  <c r="Z52" i="28"/>
  <c r="Y53" i="28"/>
  <c r="X53" i="28"/>
  <c r="W53" i="28"/>
  <c r="V53" i="28"/>
  <c r="V52" i="28"/>
  <c r="U53" i="28"/>
  <c r="T53" i="28"/>
  <c r="S53" i="28"/>
  <c r="S52" i="28"/>
  <c r="Q53" i="28"/>
  <c r="P53" i="28"/>
  <c r="P52" i="28"/>
  <c r="O53" i="28"/>
  <c r="N53" i="28"/>
  <c r="N52" i="28"/>
  <c r="M53" i="28"/>
  <c r="L53" i="28"/>
  <c r="L52" i="28"/>
  <c r="K53" i="28"/>
  <c r="J53" i="28"/>
  <c r="J52" i="28"/>
  <c r="I53" i="28"/>
  <c r="H53" i="28"/>
  <c r="H52" i="28"/>
  <c r="G53" i="28"/>
  <c r="F53" i="28"/>
  <c r="F52" i="28"/>
  <c r="E53" i="28"/>
  <c r="D53" i="28"/>
  <c r="D52" i="28"/>
  <c r="C53" i="28"/>
  <c r="C52" i="28"/>
  <c r="B53" i="28"/>
  <c r="AA52" i="28"/>
  <c r="W52" i="28"/>
  <c r="AE51" i="28"/>
  <c r="R51" i="28"/>
  <c r="E51" i="28"/>
  <c r="AE50" i="28"/>
  <c r="R50" i="28"/>
  <c r="E50" i="28"/>
  <c r="AD49" i="28"/>
  <c r="AC49" i="28"/>
  <c r="AB49" i="28"/>
  <c r="AA49" i="28"/>
  <c r="Z49" i="28"/>
  <c r="Y49" i="28"/>
  <c r="X49" i="28"/>
  <c r="W49" i="28"/>
  <c r="V49" i="28"/>
  <c r="U49" i="28"/>
  <c r="T49" i="28"/>
  <c r="S49" i="28"/>
  <c r="Q49" i="28"/>
  <c r="P49" i="28"/>
  <c r="O49" i="28"/>
  <c r="N49" i="28"/>
  <c r="M49" i="28"/>
  <c r="L49" i="28"/>
  <c r="K49" i="28"/>
  <c r="J49" i="28"/>
  <c r="I49" i="28"/>
  <c r="H49" i="28"/>
  <c r="G49" i="28"/>
  <c r="F49" i="28"/>
  <c r="D49" i="28"/>
  <c r="C49" i="28"/>
  <c r="B49" i="28"/>
  <c r="AE48" i="28"/>
  <c r="R48" i="28"/>
  <c r="R47" i="28"/>
  <c r="E48" i="28"/>
  <c r="AE47" i="28"/>
  <c r="AD47" i="28"/>
  <c r="AC47" i="28"/>
  <c r="AB47" i="28"/>
  <c r="AA47" i="28"/>
  <c r="AA46" i="28"/>
  <c r="Z47" i="28"/>
  <c r="Y47" i="28"/>
  <c r="X47" i="28"/>
  <c r="W47" i="28"/>
  <c r="W46" i="28"/>
  <c r="V47" i="28"/>
  <c r="U47" i="28"/>
  <c r="T47" i="28"/>
  <c r="S47" i="28"/>
  <c r="S46" i="28"/>
  <c r="Q47" i="28"/>
  <c r="Q46" i="28"/>
  <c r="P47" i="28"/>
  <c r="O47" i="28"/>
  <c r="N47" i="28"/>
  <c r="N46" i="28"/>
  <c r="M47" i="28"/>
  <c r="M46" i="28"/>
  <c r="L47" i="28"/>
  <c r="K47" i="28"/>
  <c r="J47" i="28"/>
  <c r="J46" i="28"/>
  <c r="I47" i="28"/>
  <c r="I46" i="28"/>
  <c r="H47" i="28"/>
  <c r="G47" i="28"/>
  <c r="F47" i="28"/>
  <c r="F46" i="28"/>
  <c r="D47" i="28"/>
  <c r="C47" i="28"/>
  <c r="B47" i="28"/>
  <c r="Z46" i="28"/>
  <c r="AE42" i="28"/>
  <c r="R42" i="28"/>
  <c r="AD41" i="28"/>
  <c r="AC41" i="28"/>
  <c r="AB41" i="28"/>
  <c r="AA41" i="28"/>
  <c r="Z41" i="28"/>
  <c r="Y41" i="28"/>
  <c r="X41" i="28"/>
  <c r="W41" i="28"/>
  <c r="V41" i="28"/>
  <c r="U41" i="28"/>
  <c r="T41" i="28"/>
  <c r="S41" i="28"/>
  <c r="Q41" i="28"/>
  <c r="P41" i="28"/>
  <c r="O41" i="28"/>
  <c r="N41" i="28"/>
  <c r="M41" i="28"/>
  <c r="L41" i="28"/>
  <c r="K41" i="28"/>
  <c r="J41" i="28"/>
  <c r="I41" i="28"/>
  <c r="H41" i="28"/>
  <c r="G41" i="28"/>
  <c r="F41" i="28"/>
  <c r="D41" i="28"/>
  <c r="C41" i="28"/>
  <c r="B41" i="28"/>
  <c r="AE40" i="28"/>
  <c r="N40" i="28"/>
  <c r="N34" i="28"/>
  <c r="E40" i="28"/>
  <c r="AE39" i="28"/>
  <c r="R39" i="28"/>
  <c r="E39" i="28"/>
  <c r="AE38" i="28"/>
  <c r="R38" i="28"/>
  <c r="E38" i="28"/>
  <c r="AE37" i="28"/>
  <c r="R37" i="28"/>
  <c r="E37" i="28"/>
  <c r="AE36" i="28"/>
  <c r="R36" i="28"/>
  <c r="E36" i="28"/>
  <c r="AE35" i="28"/>
  <c r="R35" i="28"/>
  <c r="C35" i="28"/>
  <c r="E35" i="28"/>
  <c r="AD34" i="28"/>
  <c r="AC34" i="28"/>
  <c r="AB34" i="28"/>
  <c r="AA34" i="28"/>
  <c r="Z34" i="28"/>
  <c r="Y34" i="28"/>
  <c r="X34" i="28"/>
  <c r="W34" i="28"/>
  <c r="V34" i="28"/>
  <c r="U34" i="28"/>
  <c r="T34" i="28"/>
  <c r="S34" i="28"/>
  <c r="Q34" i="28"/>
  <c r="P34" i="28"/>
  <c r="O34" i="28"/>
  <c r="M34" i="28"/>
  <c r="L34" i="28"/>
  <c r="K34" i="28"/>
  <c r="J34" i="28"/>
  <c r="I34" i="28"/>
  <c r="H34" i="28"/>
  <c r="G34" i="28"/>
  <c r="F34" i="28"/>
  <c r="D34" i="28"/>
  <c r="B34" i="28"/>
  <c r="AE33" i="28"/>
  <c r="AE32" i="28"/>
  <c r="R33" i="28"/>
  <c r="R32" i="28"/>
  <c r="E33" i="28"/>
  <c r="E32" i="28"/>
  <c r="AD32" i="28"/>
  <c r="AC32" i="28"/>
  <c r="AB32" i="28"/>
  <c r="AA32" i="28"/>
  <c r="Z32" i="28"/>
  <c r="Y32" i="28"/>
  <c r="X32" i="28"/>
  <c r="W32" i="28"/>
  <c r="V32" i="28"/>
  <c r="U32" i="28"/>
  <c r="T32" i="28"/>
  <c r="S32" i="28"/>
  <c r="Q32" i="28"/>
  <c r="P32" i="28"/>
  <c r="O32" i="28"/>
  <c r="N32" i="28"/>
  <c r="M32" i="28"/>
  <c r="L32" i="28"/>
  <c r="K32" i="28"/>
  <c r="J32" i="28"/>
  <c r="I32" i="28"/>
  <c r="H32" i="28"/>
  <c r="G32" i="28"/>
  <c r="F32" i="28"/>
  <c r="D32" i="28"/>
  <c r="C32" i="28"/>
  <c r="B32" i="28"/>
  <c r="AE31" i="28"/>
  <c r="R31" i="28"/>
  <c r="E31" i="28"/>
  <c r="AE30" i="28"/>
  <c r="R30" i="28"/>
  <c r="E30" i="28"/>
  <c r="AD29" i="28"/>
  <c r="AC29" i="28"/>
  <c r="AB29" i="28"/>
  <c r="AA29" i="28"/>
  <c r="Z29" i="28"/>
  <c r="Y29" i="28"/>
  <c r="X29" i="28"/>
  <c r="W29" i="28"/>
  <c r="V29" i="28"/>
  <c r="U29" i="28"/>
  <c r="T29" i="28"/>
  <c r="S29" i="28"/>
  <c r="Q29" i="28"/>
  <c r="P29" i="28"/>
  <c r="O29" i="28"/>
  <c r="N29" i="28"/>
  <c r="M29" i="28"/>
  <c r="L29" i="28"/>
  <c r="K29" i="28"/>
  <c r="J29" i="28"/>
  <c r="I29" i="28"/>
  <c r="H29" i="28"/>
  <c r="G29" i="28"/>
  <c r="F29" i="28"/>
  <c r="D29" i="28"/>
  <c r="C29" i="28"/>
  <c r="B29" i="28"/>
  <c r="AE28" i="28"/>
  <c r="AE27" i="28"/>
  <c r="R28" i="28"/>
  <c r="E28" i="28"/>
  <c r="E27" i="28"/>
  <c r="AD27" i="28"/>
  <c r="AC27" i="28"/>
  <c r="AB27" i="28"/>
  <c r="AA27" i="28"/>
  <c r="Z27" i="28"/>
  <c r="Y27" i="28"/>
  <c r="X27" i="28"/>
  <c r="W27" i="28"/>
  <c r="V27" i="28"/>
  <c r="U27" i="28"/>
  <c r="T27" i="28"/>
  <c r="S27" i="28"/>
  <c r="Q27" i="28"/>
  <c r="P27" i="28"/>
  <c r="O27" i="28"/>
  <c r="N27" i="28"/>
  <c r="M27" i="28"/>
  <c r="L27" i="28"/>
  <c r="K27" i="28"/>
  <c r="J27" i="28"/>
  <c r="I27" i="28"/>
  <c r="H27" i="28"/>
  <c r="G27" i="28"/>
  <c r="F27" i="28"/>
  <c r="D27" i="28"/>
  <c r="C27" i="28"/>
  <c r="B27" i="28"/>
  <c r="AE26" i="28"/>
  <c r="R26" i="28"/>
  <c r="E26" i="28"/>
  <c r="AD25" i="28"/>
  <c r="AC25" i="28"/>
  <c r="AB25" i="28"/>
  <c r="AA25" i="28"/>
  <c r="Z25" i="28"/>
  <c r="Y25" i="28"/>
  <c r="X25" i="28"/>
  <c r="W25" i="28"/>
  <c r="V25" i="28"/>
  <c r="U25" i="28"/>
  <c r="T25" i="28"/>
  <c r="S25" i="28"/>
  <c r="Q25" i="28"/>
  <c r="P25" i="28"/>
  <c r="O25" i="28"/>
  <c r="N25" i="28"/>
  <c r="M25" i="28"/>
  <c r="L25" i="28"/>
  <c r="K25" i="28"/>
  <c r="J25" i="28"/>
  <c r="I25" i="28"/>
  <c r="H25" i="28"/>
  <c r="G25" i="28"/>
  <c r="F25" i="28"/>
  <c r="D25" i="28"/>
  <c r="C25" i="28"/>
  <c r="B25" i="28"/>
  <c r="H24" i="28"/>
  <c r="AE23" i="28"/>
  <c r="R23" i="28"/>
  <c r="E23" i="28"/>
  <c r="AE22" i="28"/>
  <c r="R22" i="28"/>
  <c r="E22" i="28"/>
  <c r="AD21" i="28"/>
  <c r="AC21" i="28"/>
  <c r="AB21" i="28"/>
  <c r="AA21" i="28"/>
  <c r="Z21" i="28"/>
  <c r="Y21" i="28"/>
  <c r="X21" i="28"/>
  <c r="W21" i="28"/>
  <c r="V21" i="28"/>
  <c r="U21" i="28"/>
  <c r="T21" i="28"/>
  <c r="S21" i="28"/>
  <c r="Q21" i="28"/>
  <c r="P21" i="28"/>
  <c r="O21" i="28"/>
  <c r="N21" i="28"/>
  <c r="M21" i="28"/>
  <c r="L21" i="28"/>
  <c r="K21" i="28"/>
  <c r="J21" i="28"/>
  <c r="I21" i="28"/>
  <c r="H21" i="28"/>
  <c r="G21" i="28"/>
  <c r="F21" i="28"/>
  <c r="D21" i="28"/>
  <c r="C21" i="28"/>
  <c r="B21" i="28"/>
  <c r="AE20" i="28"/>
  <c r="L20" i="28"/>
  <c r="K20" i="28"/>
  <c r="K14" i="28"/>
  <c r="E20" i="28"/>
  <c r="AE19" i="28"/>
  <c r="R19" i="28"/>
  <c r="E19" i="28"/>
  <c r="AE18" i="28"/>
  <c r="R18" i="28"/>
  <c r="E18" i="28"/>
  <c r="AE17" i="28"/>
  <c r="R17" i="28"/>
  <c r="E17" i="28"/>
  <c r="AE16" i="28"/>
  <c r="R16" i="28"/>
  <c r="E16" i="28"/>
  <c r="AE15" i="28"/>
  <c r="R15" i="28"/>
  <c r="E15" i="28"/>
  <c r="AD14" i="28"/>
  <c r="AC14" i="28"/>
  <c r="AB14" i="28"/>
  <c r="AA14" i="28"/>
  <c r="Z14" i="28"/>
  <c r="Y14" i="28"/>
  <c r="X14" i="28"/>
  <c r="W14" i="28"/>
  <c r="V14" i="28"/>
  <c r="U14" i="28"/>
  <c r="T14" i="28"/>
  <c r="S14" i="28"/>
  <c r="Q14" i="28"/>
  <c r="P14" i="28"/>
  <c r="O14" i="28"/>
  <c r="M14" i="28"/>
  <c r="J14" i="28"/>
  <c r="I14" i="28"/>
  <c r="H14" i="28"/>
  <c r="G14" i="28"/>
  <c r="F14" i="28"/>
  <c r="D14" i="28"/>
  <c r="C14" i="28"/>
  <c r="B14" i="28"/>
  <c r="AE13" i="28"/>
  <c r="AE12" i="28"/>
  <c r="R13" i="28"/>
  <c r="R12" i="28"/>
  <c r="E13" i="28"/>
  <c r="AD12" i="28"/>
  <c r="AC12" i="28"/>
  <c r="AB12" i="28"/>
  <c r="AA12" i="28"/>
  <c r="Z12" i="28"/>
  <c r="Y12" i="28"/>
  <c r="X12" i="28"/>
  <c r="W12" i="28"/>
  <c r="V12" i="28"/>
  <c r="U12" i="28"/>
  <c r="T12" i="28"/>
  <c r="S12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D12" i="28"/>
  <c r="C12" i="28"/>
  <c r="B12" i="28"/>
  <c r="AE11" i="28"/>
  <c r="R11" i="28"/>
  <c r="E11" i="28"/>
  <c r="AE10" i="28"/>
  <c r="R10" i="28"/>
  <c r="E10" i="28"/>
  <c r="AD9" i="28"/>
  <c r="AC9" i="28"/>
  <c r="AB9" i="28"/>
  <c r="AA9" i="28"/>
  <c r="Z9" i="28"/>
  <c r="Y9" i="28"/>
  <c r="X9" i="28"/>
  <c r="W9" i="28"/>
  <c r="V9" i="28"/>
  <c r="U9" i="28"/>
  <c r="T9" i="28"/>
  <c r="S9" i="28"/>
  <c r="Q9" i="28"/>
  <c r="P9" i="28"/>
  <c r="O9" i="28"/>
  <c r="N9" i="28"/>
  <c r="M9" i="28"/>
  <c r="L9" i="28"/>
  <c r="K9" i="28"/>
  <c r="J9" i="28"/>
  <c r="I9" i="28"/>
  <c r="H9" i="28"/>
  <c r="G9" i="28"/>
  <c r="F9" i="28"/>
  <c r="D9" i="28"/>
  <c r="C9" i="28"/>
  <c r="B9" i="28"/>
  <c r="Z8" i="28"/>
  <c r="Z7" i="28"/>
  <c r="R8" i="28"/>
  <c r="R7" i="28"/>
  <c r="E8" i="28"/>
  <c r="AD7" i="28"/>
  <c r="AC7" i="28"/>
  <c r="AB7" i="28"/>
  <c r="AA7" i="28"/>
  <c r="Y7" i="28"/>
  <c r="X7" i="28"/>
  <c r="W7" i="28"/>
  <c r="V7" i="28"/>
  <c r="U7" i="28"/>
  <c r="T7" i="28"/>
  <c r="S7" i="28"/>
  <c r="Q7" i="28"/>
  <c r="P7" i="28"/>
  <c r="O7" i="28"/>
  <c r="N7" i="28"/>
  <c r="M7" i="28"/>
  <c r="L7" i="28"/>
  <c r="K7" i="28"/>
  <c r="J7" i="28"/>
  <c r="I7" i="28"/>
  <c r="H7" i="28"/>
  <c r="G7" i="28"/>
  <c r="F7" i="28"/>
  <c r="E7" i="28"/>
  <c r="D7" i="28"/>
  <c r="C7" i="28"/>
  <c r="B7" i="28"/>
  <c r="AE6" i="28"/>
  <c r="R6" i="28"/>
  <c r="E6" i="28"/>
  <c r="AE5" i="28"/>
  <c r="R5" i="28"/>
  <c r="E5" i="28"/>
  <c r="AD4" i="28"/>
  <c r="AC4" i="28"/>
  <c r="AB4" i="28"/>
  <c r="AA4" i="28"/>
  <c r="Z4" i="28"/>
  <c r="Y4" i="28"/>
  <c r="X4" i="28"/>
  <c r="W4" i="28"/>
  <c r="V4" i="28"/>
  <c r="U4" i="28"/>
  <c r="T4" i="28"/>
  <c r="S4" i="28"/>
  <c r="Q4" i="28"/>
  <c r="P4" i="28"/>
  <c r="O4" i="28"/>
  <c r="N4" i="28"/>
  <c r="M4" i="28"/>
  <c r="L4" i="28"/>
  <c r="K4" i="28"/>
  <c r="J4" i="28"/>
  <c r="I4" i="28"/>
  <c r="H4" i="28"/>
  <c r="G4" i="28"/>
  <c r="F4" i="28"/>
  <c r="D4" i="28"/>
  <c r="C4" i="28"/>
  <c r="B4" i="28"/>
  <c r="P3" i="28"/>
  <c r="F3" i="28"/>
  <c r="AF13" i="28"/>
  <c r="AG33" i="28"/>
  <c r="H3" i="28"/>
  <c r="B46" i="28"/>
  <c r="G46" i="28"/>
  <c r="K46" i="28"/>
  <c r="O46" i="28"/>
  <c r="B52" i="28"/>
  <c r="U52" i="28"/>
  <c r="Y52" i="28"/>
  <c r="AC52" i="28"/>
  <c r="AF39" i="28"/>
  <c r="V46" i="28"/>
  <c r="AD46" i="28"/>
  <c r="K52" i="28"/>
  <c r="T52" i="28"/>
  <c r="X52" i="28"/>
  <c r="AB52" i="28"/>
  <c r="E55" i="28"/>
  <c r="X24" i="28"/>
  <c r="AF32" i="28"/>
  <c r="R14" i="28"/>
  <c r="AF18" i="28"/>
  <c r="AG38" i="28"/>
  <c r="N20" i="28"/>
  <c r="N14" i="28"/>
  <c r="N3" i="28"/>
  <c r="AF23" i="28"/>
  <c r="AF26" i="28"/>
  <c r="D24" i="28"/>
  <c r="L24" i="28"/>
  <c r="P24" i="28"/>
  <c r="AF42" i="28"/>
  <c r="I52" i="28"/>
  <c r="M52" i="28"/>
  <c r="Q52" i="28"/>
  <c r="V3" i="28"/>
  <c r="Z3" i="28"/>
  <c r="AD3" i="28"/>
  <c r="C3" i="28"/>
  <c r="AF17" i="28"/>
  <c r="AG37" i="28"/>
  <c r="AF22" i="28"/>
  <c r="AG42" i="28"/>
  <c r="E29" i="28"/>
  <c r="G24" i="28"/>
  <c r="K24" i="28"/>
  <c r="O24" i="28"/>
  <c r="T24" i="28"/>
  <c r="AB24" i="28"/>
  <c r="AE34" i="28"/>
  <c r="AF37" i="28"/>
  <c r="AF51" i="28"/>
  <c r="AF56" i="28"/>
  <c r="J3" i="28"/>
  <c r="AF10" i="28"/>
  <c r="AG30" i="28"/>
  <c r="E14" i="28"/>
  <c r="AF33" i="28"/>
  <c r="C34" i="28"/>
  <c r="E34" i="28"/>
  <c r="AF48" i="28"/>
  <c r="AG54" i="28"/>
  <c r="P46" i="28"/>
  <c r="AF50" i="28"/>
  <c r="AG56" i="28"/>
  <c r="L46" i="28"/>
  <c r="E4" i="28"/>
  <c r="AE8" i="28"/>
  <c r="AE7" i="28"/>
  <c r="AE9" i="28"/>
  <c r="AF11" i="28"/>
  <c r="U3" i="28"/>
  <c r="Y3" i="28"/>
  <c r="AC3" i="28"/>
  <c r="AE14" i="28"/>
  <c r="AH37" i="28"/>
  <c r="R21" i="28"/>
  <c r="AE21" i="28"/>
  <c r="AE25" i="28"/>
  <c r="U24" i="28"/>
  <c r="Y24" i="28"/>
  <c r="AC24" i="28"/>
  <c r="AF38" i="28"/>
  <c r="AH38" i="28"/>
  <c r="R41" i="28"/>
  <c r="AE41" i="28"/>
  <c r="E47" i="28"/>
  <c r="U46" i="28"/>
  <c r="Y46" i="28"/>
  <c r="AC46" i="28"/>
  <c r="D46" i="28"/>
  <c r="R55" i="28"/>
  <c r="AE55" i="28"/>
  <c r="AE52" i="28"/>
  <c r="AF6" i="28"/>
  <c r="E9" i="28"/>
  <c r="E12" i="28"/>
  <c r="AF12" i="28"/>
  <c r="Q3" i="28"/>
  <c r="AF16" i="28"/>
  <c r="AG36" i="28"/>
  <c r="I24" i="28"/>
  <c r="M24" i="28"/>
  <c r="Q24" i="28"/>
  <c r="AF31" i="28"/>
  <c r="AH31" i="28"/>
  <c r="B24" i="28"/>
  <c r="F24" i="28"/>
  <c r="J24" i="28"/>
  <c r="V24" i="28"/>
  <c r="Z24" i="28"/>
  <c r="AD24" i="28"/>
  <c r="AF35" i="28"/>
  <c r="AF36" i="28"/>
  <c r="E41" i="28"/>
  <c r="R49" i="28"/>
  <c r="R46" i="28"/>
  <c r="AE49" i="28"/>
  <c r="AE46" i="28"/>
  <c r="H46" i="28"/>
  <c r="AF53" i="28"/>
  <c r="R9" i="28"/>
  <c r="AF9" i="28"/>
  <c r="B3" i="28"/>
  <c r="R4" i="28"/>
  <c r="AE4" i="28"/>
  <c r="AF5" i="28"/>
  <c r="AG26" i="28"/>
  <c r="AG25" i="28"/>
  <c r="D3" i="28"/>
  <c r="AF15" i="28"/>
  <c r="AG35" i="28"/>
  <c r="AF19" i="28"/>
  <c r="AG39" i="28"/>
  <c r="E21" i="28"/>
  <c r="E25" i="28"/>
  <c r="R29" i="28"/>
  <c r="S24" i="28"/>
  <c r="W24" i="28"/>
  <c r="AA24" i="28"/>
  <c r="AF30" i="28"/>
  <c r="R34" i="28"/>
  <c r="AF34" i="28"/>
  <c r="C46" i="28"/>
  <c r="E49" i="28"/>
  <c r="T46" i="28"/>
  <c r="X46" i="28"/>
  <c r="AB46" i="28"/>
  <c r="E52" i="28"/>
  <c r="AF54" i="28"/>
  <c r="AH26" i="28"/>
  <c r="AG32" i="28"/>
  <c r="AH32" i="28"/>
  <c r="AH33" i="28"/>
  <c r="AH42" i="28"/>
  <c r="AG41" i="28"/>
  <c r="AF28" i="28"/>
  <c r="AF27" i="28"/>
  <c r="R27" i="28"/>
  <c r="C24" i="28"/>
  <c r="E24" i="28"/>
  <c r="N24" i="28"/>
  <c r="AG55" i="28"/>
  <c r="S3" i="28"/>
  <c r="X3" i="28"/>
  <c r="G3" i="28"/>
  <c r="O3" i="28"/>
  <c r="AG12" i="28"/>
  <c r="R25" i="28"/>
  <c r="W3" i="28"/>
  <c r="AA3" i="28"/>
  <c r="T3" i="28"/>
  <c r="AB3" i="28"/>
  <c r="K3" i="28"/>
  <c r="I3" i="28"/>
  <c r="M3" i="28"/>
  <c r="R20" i="28"/>
  <c r="AF20" i="28"/>
  <c r="AG40" i="28"/>
  <c r="R40" i="28"/>
  <c r="AF40" i="28"/>
  <c r="AF47" i="28"/>
  <c r="R52" i="28"/>
  <c r="AE29" i="28"/>
  <c r="L14" i="28"/>
  <c r="L3" i="28"/>
  <c r="AF25" i="28"/>
  <c r="AG10" i="28"/>
  <c r="AG29" i="28"/>
  <c r="AF55" i="28"/>
  <c r="AH39" i="28"/>
  <c r="AH54" i="28"/>
  <c r="AH35" i="28"/>
  <c r="AF4" i="28"/>
  <c r="AF41" i="28"/>
  <c r="AF21" i="28"/>
  <c r="AH56" i="28"/>
  <c r="E3" i="28"/>
  <c r="AF8" i="28"/>
  <c r="AG28" i="28"/>
  <c r="AE24" i="28"/>
  <c r="AF14" i="28"/>
  <c r="AF52" i="28"/>
  <c r="R24" i="28"/>
  <c r="E46" i="28"/>
  <c r="AH36" i="28"/>
  <c r="AF29" i="28"/>
  <c r="AF49" i="28"/>
  <c r="AF46" i="28"/>
  <c r="AH30" i="28"/>
  <c r="AH55" i="28"/>
  <c r="AF24" i="28"/>
  <c r="AH40" i="28"/>
  <c r="AG34" i="28"/>
  <c r="AH34" i="28"/>
  <c r="R3" i="28"/>
  <c r="AF7" i="28"/>
  <c r="AF3" i="28"/>
  <c r="AG9" i="28"/>
  <c r="AE3" i="28"/>
  <c r="AH25" i="28"/>
  <c r="AH41" i="28"/>
  <c r="AG24" i="28"/>
  <c r="AG27" i="28"/>
  <c r="AH27" i="28"/>
  <c r="AH28" i="28"/>
  <c r="AH29" i="28"/>
  <c r="AH24" i="28"/>
  <c r="I89" i="35"/>
  <c r="I89" i="32"/>
  <c r="E126" i="55" l="1"/>
  <c r="E123" i="55"/>
  <c r="F127" i="55"/>
  <c r="F123" i="55" l="1"/>
  <c r="G127" i="55"/>
  <c r="F121" i="55" l="1"/>
  <c r="G123" i="55"/>
  <c r="G121" i="55" s="1"/>
  <c r="G124" i="55" s="1"/>
  <c r="H127" i="55"/>
  <c r="F124" i="55" l="1"/>
  <c r="I127" i="55"/>
  <c r="H123" i="55"/>
  <c r="G125" i="55"/>
  <c r="G126" i="55" s="1"/>
  <c r="F125" i="55" l="1"/>
  <c r="F126" i="55"/>
  <c r="H121" i="55"/>
  <c r="I123" i="55"/>
  <c r="I121" i="55" s="1"/>
  <c r="I124" i="55" s="1"/>
  <c r="J127" i="55"/>
  <c r="J123" i="55" l="1"/>
  <c r="J121" i="55" s="1"/>
  <c r="J124" i="55" s="1"/>
  <c r="K127" i="55"/>
  <c r="I125" i="55"/>
  <c r="I126" i="55"/>
  <c r="H124" i="55"/>
  <c r="K123" i="55" l="1"/>
  <c r="L127" i="55"/>
  <c r="J125" i="55"/>
  <c r="J126" i="55" s="1"/>
  <c r="H126" i="55"/>
  <c r="H125" i="55"/>
  <c r="K121" i="55" l="1"/>
  <c r="M127" i="55"/>
  <c r="L123" i="55"/>
  <c r="L121" i="55" s="1"/>
  <c r="L124" i="55" s="1"/>
  <c r="L125" i="55" l="1"/>
  <c r="L126" i="55" s="1"/>
  <c r="K124" i="55"/>
  <c r="M123" i="55"/>
  <c r="N127" i="55"/>
  <c r="M121" i="55" l="1"/>
  <c r="K125" i="55"/>
  <c r="K126" i="55"/>
  <c r="N123" i="55"/>
  <c r="N121" i="55" s="1"/>
  <c r="N124" i="55" s="1"/>
  <c r="O127" i="55"/>
  <c r="P127" i="55" l="1"/>
  <c r="O123" i="55"/>
  <c r="O121" i="55" s="1"/>
  <c r="O124" i="55" s="1"/>
  <c r="N125" i="55"/>
  <c r="N126" i="55"/>
  <c r="M124" i="55"/>
  <c r="P123" i="55" l="1"/>
  <c r="P121" i="55" s="1"/>
  <c r="P124" i="55" s="1"/>
  <c r="Q127" i="55"/>
  <c r="O125" i="55"/>
  <c r="O126" i="55" s="1"/>
  <c r="M125" i="55"/>
  <c r="M126" i="55" l="1"/>
  <c r="Q123" i="55"/>
  <c r="Q121" i="55" s="1"/>
  <c r="Q124" i="55" s="1"/>
  <c r="R127" i="55"/>
  <c r="P125" i="55"/>
  <c r="P126" i="55" s="1"/>
  <c r="S127" i="55" l="1"/>
  <c r="R123" i="55"/>
  <c r="R121" i="55" s="1"/>
  <c r="R124" i="55" s="1"/>
  <c r="Q125" i="55"/>
  <c r="Q126" i="55" s="1"/>
  <c r="R125" i="55" l="1"/>
  <c r="R126" i="55" s="1"/>
  <c r="S123" i="55"/>
  <c r="S121" i="55" s="1"/>
  <c r="S124" i="55" s="1"/>
  <c r="T127" i="55"/>
  <c r="T123" i="55" l="1"/>
  <c r="U127" i="55"/>
  <c r="U123" i="55" s="1"/>
  <c r="U121" i="55" s="1"/>
  <c r="U124" i="55" s="1"/>
  <c r="S125" i="55"/>
  <c r="S126" i="55" s="1"/>
  <c r="U125" i="55" l="1"/>
  <c r="U126" i="55" s="1"/>
  <c r="T121" i="55"/>
  <c r="T124" i="55" l="1"/>
  <c r="T125" i="55" l="1"/>
  <c r="AK125" i="55" s="1"/>
  <c r="AK124" i="55"/>
  <c r="T126" i="55" l="1"/>
  <c r="AK126" i="55" s="1"/>
  <c r="C127" i="55" s="1"/>
</calcChain>
</file>

<file path=xl/comments1.xml><?xml version="1.0" encoding="utf-8"?>
<comments xmlns="http://schemas.openxmlformats.org/spreadsheetml/2006/main">
  <authors>
    <author>Козьмина Надежда Анатольевна</author>
  </authors>
  <commentList>
    <comment ref="B74" authorId="0" shapeId="0">
      <text>
        <r>
          <rPr>
            <b/>
            <sz val="9"/>
            <color indexed="81"/>
            <rFont val="Tahoma"/>
            <family val="2"/>
            <charset val="204"/>
          </rPr>
          <t>Козьмина Надежда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заключено доп соглашение от июля 2020 - без авансирования </t>
        </r>
      </text>
    </comment>
  </commentList>
</comments>
</file>

<file path=xl/comments2.xml><?xml version="1.0" encoding="utf-8"?>
<comments xmlns="http://schemas.openxmlformats.org/spreadsheetml/2006/main">
  <authors>
    <author>Козьмина Надежда Анатольевна</author>
  </authors>
  <commentList>
    <comment ref="B74" authorId="0" shapeId="0">
      <text>
        <r>
          <rPr>
            <b/>
            <sz val="9"/>
            <color indexed="81"/>
            <rFont val="Tahoma"/>
            <family val="2"/>
            <charset val="204"/>
          </rPr>
          <t>Козьмина Надежда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заключено доп соглашение от июля 2020 - без авансирования </t>
        </r>
      </text>
    </comment>
  </commentList>
</comments>
</file>

<file path=xl/comments3.xml><?xml version="1.0" encoding="utf-8"?>
<comments xmlns="http://schemas.openxmlformats.org/spreadsheetml/2006/main">
  <authors>
    <author>Лищинская Ольга Юрьевна</author>
  </authors>
  <commentList>
    <comment ref="Z8" authorId="0" shapeId="0">
      <text>
        <r>
          <rPr>
            <b/>
            <sz val="9"/>
            <color indexed="81"/>
            <rFont val="Tahoma"/>
            <family val="2"/>
            <charset val="204"/>
          </rPr>
          <t>модуль оптический+ патч-корд давальческие + тзр 54 855,94</t>
        </r>
      </text>
    </comment>
    <comment ref="AB8" authorId="0" shapeId="0">
      <text>
        <r>
          <rPr>
            <b/>
            <sz val="9"/>
            <color indexed="81"/>
            <rFont val="Tahoma"/>
            <family val="2"/>
            <charset val="204"/>
          </rPr>
          <t>ушко литое, звено промежуточное, узел крепления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дог № 20-10/2019 от 14.10.19
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дог № 20-10/2019 от 14.10.19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8" authorId="0" shapeId="0">
      <text>
        <r>
          <rPr>
            <b/>
            <sz val="9"/>
            <color indexed="81"/>
            <rFont val="Tahoma"/>
            <family val="2"/>
            <charset val="204"/>
          </rPr>
          <t>Дог № 9-10/2019 от 14.10.2019</t>
        </r>
      </text>
    </comment>
    <comment ref="O54" authorId="0" shapeId="0">
      <text>
        <r>
          <rPr>
            <b/>
            <sz val="9"/>
            <color indexed="81"/>
            <rFont val="Tahoma"/>
            <family val="2"/>
            <charset val="204"/>
          </rPr>
          <t>Дог № 9-10/2019 от 14.10.2019</t>
        </r>
      </text>
    </comment>
  </commentList>
</comments>
</file>

<file path=xl/sharedStrings.xml><?xml version="1.0" encoding="utf-8"?>
<sst xmlns="http://schemas.openxmlformats.org/spreadsheetml/2006/main" count="973" uniqueCount="316">
  <si>
    <t>Согласовано:</t>
  </si>
  <si>
    <t>Утверждаю:</t>
  </si>
  <si>
    <t>Директор АО "Витимэнерго"</t>
  </si>
  <si>
    <t>Директор АО "Витимэнергострой"</t>
  </si>
  <si>
    <t>Машковский А.Р. __________________</t>
  </si>
  <si>
    <t>________________ Заиграев А.С.</t>
  </si>
  <si>
    <t>"____" ___________2018г.</t>
  </si>
  <si>
    <t>Директор ООО "БМУ ГЭМ"</t>
  </si>
  <si>
    <t>Хабуктанов А.В. __________________</t>
  </si>
  <si>
    <t>Директор Филиала АО "СО ЕЭС" Иркутское РДУ</t>
  </si>
  <si>
    <t>Маяков Д.В. __________________</t>
  </si>
  <si>
    <t>№</t>
  </si>
  <si>
    <t xml:space="preserve">Наименование работ, услуг, поставок  </t>
  </si>
  <si>
    <t>Сроки выпол работ</t>
  </si>
  <si>
    <t>Ед.изм</t>
  </si>
  <si>
    <t>Объём и стоимость работ, поставок, подлежащих выполнению в каждом месяце (единицы измерения объемов  - тыс. руб. без НДС), 
объемы финансирования (в % от стоимости работ и поставок)</t>
  </si>
  <si>
    <t>Оплата резерва после подписания КС-11</t>
  </si>
  <si>
    <t>дельта</t>
  </si>
  <si>
    <t>Ед.изм.</t>
  </si>
  <si>
    <t>Кол-во</t>
  </si>
  <si>
    <t>Длительность, 
день</t>
  </si>
  <si>
    <t>Начало</t>
  </si>
  <si>
    <t>Окончание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</si>
  <si>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</si>
  <si>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</si>
  <si>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</si>
  <si>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</si>
  <si>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</si>
  <si>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</si>
  <si>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</si>
  <si>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</si>
  <si>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</si>
  <si>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</si>
  <si>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</si>
  <si>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</si>
  <si>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</si>
  <si>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тыс.руб.</t>
  </si>
  <si>
    <t>%</t>
  </si>
  <si>
    <t>в счет СМР?</t>
  </si>
  <si>
    <t>Поставка оборудования</t>
  </si>
  <si>
    <t>Общестроительные работы на ОРУ-220кВ (планировка площадки, установка лежней под оборудование, устройство автодороги)</t>
  </si>
  <si>
    <t>Монтаж ж/б кабельных лотков на ОРУ-220кВ</t>
  </si>
  <si>
    <t>Монтаж шкафов ПР, БУ, ШЗВ</t>
  </si>
  <si>
    <t xml:space="preserve">Монтаж шкафов в ОПУ </t>
  </si>
  <si>
    <t>Монтаж оборудования 220кВ ВЛ 220кВ Мамакан - Сухой Лог №1 (без подключения)
Выключатель колонковый - 1шт.
Трансформатор тока - 3шт.
Разъединитель 220кВ - 3шт.</t>
  </si>
  <si>
    <t>Монтаж оборудования 220кВ ВЛ 220кВ Мамакан - Сухой Лог №1 (ф.В) (без подключения)
ВЧ-заградитель - 1шт.
Конденсатор связи - 1шт.
Фильтр присоединения - 1шт.</t>
  </si>
  <si>
    <t>Монтаж кабельных конструкций</t>
  </si>
  <si>
    <t>Монтаж контрольного и силового кабеля</t>
  </si>
  <si>
    <t>12</t>
  </si>
  <si>
    <t>Пусконаладочные работы</t>
  </si>
  <si>
    <t>Передача исполнительной документации</t>
  </si>
  <si>
    <t>Отключить действующею СШ-220кВ</t>
  </si>
  <si>
    <t>Подключить вновь смонтированную ячейку ВЛ 220кВ Мамакан - Сухой Лог №1 к СШ-220кВ.</t>
  </si>
  <si>
    <t>Включить СШ-220кВ
Разъединитель ШР-220-1 Сухой лог №1 отключен.</t>
  </si>
  <si>
    <t>СМР</t>
  </si>
  <si>
    <t>ПНР</t>
  </si>
  <si>
    <t>9</t>
  </si>
  <si>
    <t>Стоимость выполненных работ, руб.</t>
  </si>
  <si>
    <t>10</t>
  </si>
  <si>
    <t>11</t>
  </si>
  <si>
    <t>Формирование суммы резерв (10% в теч 30 банк. дней после подписания КС-11)</t>
  </si>
  <si>
    <t>13</t>
  </si>
  <si>
    <t>Итого платежи, руб. без НДС</t>
  </si>
  <si>
    <t>14</t>
  </si>
  <si>
    <t>15</t>
  </si>
  <si>
    <t>Итого платежи, руб. с учётом НДС</t>
  </si>
  <si>
    <t>Разбивка и закрепление центров опор</t>
  </si>
  <si>
    <t>Рекультивация нарушенных земель</t>
  </si>
  <si>
    <t>Основные объекты строительства</t>
  </si>
  <si>
    <t>РП110кВ Полюс Заземление</t>
  </si>
  <si>
    <t>РП110кВ Полюс Собственные нужды</t>
  </si>
  <si>
    <t>РП110кВ Полюс освещение</t>
  </si>
  <si>
    <t>РЛ110кВ Полюс Телемеханизация и учет элек.</t>
  </si>
  <si>
    <t>РП110кВ Полюс. Релейная защита</t>
  </si>
  <si>
    <t>Временные здания и сооружения</t>
  </si>
  <si>
    <t>Устройство временных сооружений</t>
  </si>
  <si>
    <t>13-14</t>
  </si>
  <si>
    <t>Прочие работы и затраты</t>
  </si>
  <si>
    <t>22</t>
  </si>
  <si>
    <t>23</t>
  </si>
  <si>
    <t>ПНР по ВЛ</t>
  </si>
  <si>
    <t>РП110кВ Полюс ПНР</t>
  </si>
  <si>
    <t>РП110кВ Полюс Телемех-я ПНР</t>
  </si>
  <si>
    <t>25</t>
  </si>
  <si>
    <t>Подготовительные работы ВЛ110кВ (ПРОСЕКА)</t>
  </si>
  <si>
    <t>РП 110 кВ. Полюс ОРУ-110кВ</t>
  </si>
  <si>
    <t>ВЛ 110 кВ. СМР</t>
  </si>
  <si>
    <t>ВЛ 110 кВ. Материалы Заказчика (Генподрядчика)</t>
  </si>
  <si>
    <t>ВЛ 110 кВ. Материалы Субподрядчика</t>
  </si>
  <si>
    <t>4.1</t>
  </si>
  <si>
    <t>4.2</t>
  </si>
  <si>
    <t>4.3</t>
  </si>
  <si>
    <t>Подвеска оптического кабеля на опорах ВЛ. СМР</t>
  </si>
  <si>
    <t>12.1</t>
  </si>
  <si>
    <t>12.2</t>
  </si>
  <si>
    <t>12.3</t>
  </si>
  <si>
    <t>Подвеска оптического кабеля на опорах ВЛ. Материалы Субподрядчика</t>
  </si>
  <si>
    <t>Подвеска оптического кабеля на опорах ВЛ. Материалы Заказчика (Генподрядчика)</t>
  </si>
  <si>
    <t>24.1</t>
  </si>
  <si>
    <t>24.2</t>
  </si>
  <si>
    <t>24.3</t>
  </si>
  <si>
    <t>Аварийный запас ВОЛС (Заготовительно-складские и прочие затраты)</t>
  </si>
  <si>
    <t>Аварийных запас ВОЛС. Материалы Заказчика (Генподрядчика)</t>
  </si>
  <si>
    <t>Аварийных запас ВОЛС. Материалы Субподрядчика</t>
  </si>
  <si>
    <t>Объекты транспортного хозяйства и связи</t>
  </si>
  <si>
    <t>РП110кВ Полюс Кабельное хоз-во</t>
  </si>
  <si>
    <t>26</t>
  </si>
  <si>
    <t>27</t>
  </si>
  <si>
    <t>Авторский надзор - 0,2%</t>
  </si>
  <si>
    <t>Прочие затраты.(зимнее удорожание, снегоборьба, перебазировка людей и техники и др.)</t>
  </si>
  <si>
    <t>Непредвиденные затраты - 3%</t>
  </si>
  <si>
    <t>28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</si>
  <si>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</si>
  <si>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</si>
  <si>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</si>
  <si>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</si>
  <si>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</si>
  <si>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</si>
  <si>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</si>
  <si>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</si>
  <si>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</si>
  <si>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</si>
  <si>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</si>
  <si>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</si>
  <si>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Мобилизация (перебазировка техники, временнные здания сооружения,командировочные, доставка АТ-2)</t>
  </si>
  <si>
    <t>Доработка рабочей документации</t>
  </si>
  <si>
    <t>Аварийный запас</t>
  </si>
  <si>
    <t>АН</t>
  </si>
  <si>
    <t>непредвиденные</t>
  </si>
  <si>
    <t>ВЭСТ_оборудование_геподрядчик</t>
  </si>
  <si>
    <t>Прочее</t>
  </si>
  <si>
    <t>Гашение аванса (30%)</t>
  </si>
  <si>
    <t>Материалы</t>
  </si>
  <si>
    <t>понижающий коэффициент</t>
  </si>
  <si>
    <t>Авансовый платеж, руб. (30% от общей цены договора в теч 5 банк. дней)</t>
  </si>
  <si>
    <t>НДС 20%, руб.</t>
  </si>
  <si>
    <t>Оплата оборудования и выполненных работ, руб. (60% в теч. 15 банк. дней)</t>
  </si>
  <si>
    <t xml:space="preserve">Генпдряд суммы </t>
  </si>
  <si>
    <t>Субподряд суммы</t>
  </si>
  <si>
    <t>ИТОГО</t>
  </si>
  <si>
    <t>БМУ ГЭМ</t>
  </si>
  <si>
    <t>Поставка оборудования (трансформаторы)</t>
  </si>
  <si>
    <t>Авансовый платеж, руб. (согласно п .5 договора)</t>
  </si>
  <si>
    <t xml:space="preserve">Оплата за выполненные работы, в течение 10 рабочих дней , со дня подписания КС-2,КС-3 руб. </t>
  </si>
  <si>
    <t xml:space="preserve">Гашение аванса </t>
  </si>
  <si>
    <t>Оплата по авторскому надзору - в течение 30 календарных дней со дня подписания акта сдачи-приемки работ по авторскому надзору, на основании подписанного акта КС-14</t>
  </si>
  <si>
    <t>График выполнения работ и объёмов финансирования проекта "Строительство ВЛ 110 кВ Сухой Лог –Полюс № 2» с расширением ОРУ 110 кВ существующего РП 110 кВ Полюс"</t>
  </si>
  <si>
    <t>Начало выполнения поставок, работ (услуг): «10» июня 2020 года.</t>
  </si>
  <si>
    <t>Окончание выполнения поставок, работ (услуг): «30» ноября 2020 года.</t>
  </si>
  <si>
    <t>Окончание выполнения поставок, работ (услуг): «31» декабря 2020 года.</t>
  </si>
  <si>
    <t>Начало выполнения поставок, работ (услуг): «10» декабря  2019 года.</t>
  </si>
  <si>
    <t>с ндс</t>
  </si>
  <si>
    <t>Маиериалы Генподряд</t>
  </si>
  <si>
    <t>Приложение № 9А_ списание</t>
  </si>
  <si>
    <t>п.п</t>
  </si>
  <si>
    <t>Наименование работ, услуг, поставок  _Давальческие</t>
  </si>
  <si>
    <t>ИТОГО МАТЕРИАЛЫ И ОБОРУДОВАНИЕ (без учета НДС):</t>
  </si>
  <si>
    <t>Материалы по ВЛ_стр34</t>
  </si>
  <si>
    <t>Подвеска оптического кабеля ВОЛС_стр 53</t>
  </si>
  <si>
    <t>ВОЛС-аварийный запас _в ССР субподрядчика_стр 65</t>
  </si>
  <si>
    <t>ВОЛС-аварийный запас_не входит в ССР субаодрядчика_стр 65</t>
  </si>
  <si>
    <t>5</t>
  </si>
  <si>
    <t>РП 110 кВ. Полюс ОРУ-110кВ_стр 36-37</t>
  </si>
  <si>
    <t>РП110кВ Полюс Кабельное хоз-во_стр 44</t>
  </si>
  <si>
    <t>РП110кВ Полюс. Релейная защита_стр 48</t>
  </si>
  <si>
    <t>РЛ110кВ Полюс Телемеханизация и учет элек._стр 46</t>
  </si>
  <si>
    <t>6.</t>
  </si>
  <si>
    <t>РП110кВ Полюс Собственные нужды_стр 38</t>
  </si>
  <si>
    <t>ИТОГО без ндс</t>
  </si>
  <si>
    <t>янв</t>
  </si>
  <si>
    <t>фев</t>
  </si>
  <si>
    <t>мар</t>
  </si>
  <si>
    <t>апр</t>
  </si>
  <si>
    <t>июн</t>
  </si>
  <si>
    <t>ИТОГО ДАВАЛЬЧЕСКИЕ _Списание</t>
  </si>
  <si>
    <t>2018-2020гг</t>
  </si>
  <si>
    <t>Дяля чаянгро</t>
  </si>
  <si>
    <t>ТТ</t>
  </si>
  <si>
    <t>ТЗР</t>
  </si>
  <si>
    <t>Давальческие материалы</t>
  </si>
  <si>
    <t>пусковой элемент</t>
  </si>
  <si>
    <t>оборудование</t>
  </si>
  <si>
    <t>ЭСП</t>
  </si>
  <si>
    <t>корректировка 2388-1 от 24.09.18</t>
  </si>
  <si>
    <t>корректировка 2388-2 от 07.05.2019</t>
  </si>
  <si>
    <t>корректировка 2388-3 от 27.05.2020</t>
  </si>
  <si>
    <t>корректировка 2388-4 от 27.05.2021</t>
  </si>
  <si>
    <t>корректировка 2388-5 от 27.05.2022</t>
  </si>
  <si>
    <t>корректировка 2388-6 от 27.05.2023</t>
  </si>
  <si>
    <t>ВЧ связь</t>
  </si>
  <si>
    <t>устройство ВЧ связь</t>
  </si>
  <si>
    <t>Стоимость по договору</t>
  </si>
  <si>
    <t>остаток</t>
  </si>
  <si>
    <t>затраты сч. 20</t>
  </si>
  <si>
    <t>оплата сч.51</t>
  </si>
  <si>
    <t>2.1</t>
  </si>
  <si>
    <t>2.2</t>
  </si>
  <si>
    <t>2.3</t>
  </si>
  <si>
    <t>2.4</t>
  </si>
  <si>
    <t>2.5</t>
  </si>
  <si>
    <t>2.6</t>
  </si>
  <si>
    <t>2.7</t>
  </si>
  <si>
    <t>2.8</t>
  </si>
  <si>
    <t>Сроки выполнения работ</t>
  </si>
  <si>
    <t>1.1</t>
  </si>
  <si>
    <t>1.2</t>
  </si>
  <si>
    <t>1.3</t>
  </si>
  <si>
    <t>1.4</t>
  </si>
  <si>
    <t>1.5</t>
  </si>
  <si>
    <t>Наименование работ, услуг.</t>
  </si>
  <si>
    <t>Ед.измерения стоимость</t>
  </si>
  <si>
    <t>ССР</t>
  </si>
  <si>
    <t>Разбивка и закрепление центров опор ВЛ 110 кВ, установка границ просеки для вырубки по трассе ВЛ 110 кВ</t>
  </si>
  <si>
    <t>Командирование персонала от места проживания до объекта, перебазирование строительно-монтажной организации на объект</t>
  </si>
  <si>
    <t>Подготовительные работы ВЛ 110 кВ: вырубка просеки, уборка снега под опоры</t>
  </si>
  <si>
    <t>5.1</t>
  </si>
  <si>
    <t>ВЛ 110 кВ. Опоры и фундаменты</t>
  </si>
  <si>
    <t>ВЛ 110 кВ. Подвеска провода и троса</t>
  </si>
  <si>
    <t>Расширение ОПУ на ПС Вернинская</t>
  </si>
  <si>
    <t>19</t>
  </si>
  <si>
    <t>20</t>
  </si>
  <si>
    <t>21</t>
  </si>
  <si>
    <t>2021 год</t>
  </si>
  <si>
    <t>2022 год</t>
  </si>
  <si>
    <t>Итого</t>
  </si>
  <si>
    <t>1 Этап. Реконструкция ПС 110 кВ Вернинская</t>
  </si>
  <si>
    <t>Май-Июнь</t>
  </si>
  <si>
    <t xml:space="preserve"> </t>
  </si>
  <si>
    <t>Подготовительные работы по площадке под установку ММПС</t>
  </si>
  <si>
    <t xml:space="preserve">Установка ММПС </t>
  </si>
  <si>
    <t>Демонтаж ММПС и передача АО "Витимэнерго"</t>
  </si>
  <si>
    <t>1.6</t>
  </si>
  <si>
    <t>ОРУ 110 кВ ПС Вернинская. Доставка силового оборудования. Строительные работы под силовое оборудование и установка оборудования</t>
  </si>
  <si>
    <t>Июнь-Октябрь</t>
  </si>
  <si>
    <t>1.7</t>
  </si>
  <si>
    <t>Собственные нужды ПС Вернинская</t>
  </si>
  <si>
    <t>1.8</t>
  </si>
  <si>
    <t>Заземление  ПС Вернинская</t>
  </si>
  <si>
    <t>1.9</t>
  </si>
  <si>
    <t>Освещение ПС Вернинская</t>
  </si>
  <si>
    <t>1.10</t>
  </si>
  <si>
    <t>Кабельное хозяйство ПС Вернинская</t>
  </si>
  <si>
    <t>Сентябрь-Ноябрь</t>
  </si>
  <si>
    <t>1.11</t>
  </si>
  <si>
    <t>Телемеханизация и учет ПС Вернинская</t>
  </si>
  <si>
    <t>1.12</t>
  </si>
  <si>
    <t>Релейная защита ПС Вернинская</t>
  </si>
  <si>
    <t>Август-Сентябрь</t>
  </si>
  <si>
    <t>Июль-Август</t>
  </si>
  <si>
    <t>1.14</t>
  </si>
  <si>
    <t>Доставка и установка нового силового трансформатора Т2 на ПС Вернинская</t>
  </si>
  <si>
    <t>1.15</t>
  </si>
  <si>
    <t>Доставка нового силового трансформатора Т1 на объект</t>
  </si>
  <si>
    <t>Авнуст</t>
  </si>
  <si>
    <t>1.16</t>
  </si>
  <si>
    <t>Демонтаж существующих силовых траснформаторов и силового оборудования</t>
  </si>
  <si>
    <t>Ноябрь-Декабрь</t>
  </si>
  <si>
    <t>1.17</t>
  </si>
  <si>
    <t>Установка нового силового трансформатора Т1 на ПС Вернинская</t>
  </si>
  <si>
    <t>ПНР Т2 и силового оборудования для Т2</t>
  </si>
  <si>
    <t>ПНР Т1 и силового оборудования для Т1</t>
  </si>
  <si>
    <t>Апрель-Май</t>
  </si>
  <si>
    <t>2 Этап. Строительство линейной ячейки 110 кВ в ОРУ РП 110 кВ Полюс для подключения ВЛ 110 кВ Кропоткинская - Вернинская №2 с отпайкой на РП Полюс</t>
  </si>
  <si>
    <t>ОРУ 110 кВ РП Полюс. Доставка силового оборудования. Строительные работы под силовое оборудование и установка оборудования</t>
  </si>
  <si>
    <t>Собственные нужды РП Полюс</t>
  </si>
  <si>
    <t>Заземление  РП Полюс</t>
  </si>
  <si>
    <t>Освещение РП Полюс</t>
  </si>
  <si>
    <t>Кабельное хозяйство РП Полюс</t>
  </si>
  <si>
    <t>Телемеханизация и учет РП Полюс</t>
  </si>
  <si>
    <t>2.9</t>
  </si>
  <si>
    <t>Релейная защита РП Полюс</t>
  </si>
  <si>
    <t>2.10</t>
  </si>
  <si>
    <t xml:space="preserve">ПНР </t>
  </si>
  <si>
    <t>3 Этап. Строительство линейной ячейки 110 кВ в ОРУ ПС 110 кВ Кропоткинская для подключения ВЛ 110 кВ Кропоткинская - Вернинская №2 с отпайкой на РП Полюс</t>
  </si>
  <si>
    <t>3.1</t>
  </si>
  <si>
    <t>3.2</t>
  </si>
  <si>
    <t>3.3</t>
  </si>
  <si>
    <t>Демонтаж существующего силового оборудования</t>
  </si>
  <si>
    <t>3.4</t>
  </si>
  <si>
    <t>ОРУ 110 кВ ПС Кропоткинская. Доставка силового оборудования. Строительные работы под силовое оборудование и установка оборудования</t>
  </si>
  <si>
    <t>3.5</t>
  </si>
  <si>
    <t>Собственные нужды ПС Кропоткинская</t>
  </si>
  <si>
    <t>3.6</t>
  </si>
  <si>
    <t>Заземление  ПС Кропоткинская</t>
  </si>
  <si>
    <t>3.7</t>
  </si>
  <si>
    <t>Освещение ПС Кропоткинская</t>
  </si>
  <si>
    <t>3.8</t>
  </si>
  <si>
    <t>Кабельное хозяйство ПС Кропоткинская</t>
  </si>
  <si>
    <t>3.9</t>
  </si>
  <si>
    <t>Телемеханизация и учет ПС Кропоткинская</t>
  </si>
  <si>
    <t>3.10</t>
  </si>
  <si>
    <t>Релейная защита ПС Кропоткинская</t>
  </si>
  <si>
    <t>3.11</t>
  </si>
  <si>
    <t>4 Этап. Строительство ВЛ 110 кВ Кропоткинская - Вернинская №2 с отпайкой на РП Полюс</t>
  </si>
  <si>
    <t>2021-2022</t>
  </si>
  <si>
    <t>4.4</t>
  </si>
  <si>
    <t>4.5</t>
  </si>
  <si>
    <t>4.6</t>
  </si>
  <si>
    <t>4.7</t>
  </si>
  <si>
    <t>4.8</t>
  </si>
  <si>
    <t>4.9</t>
  </si>
  <si>
    <t>Доставка ММПС  на объект (стоимость с доставкой)</t>
  </si>
  <si>
    <t>График выполнения СМР</t>
  </si>
  <si>
    <t xml:space="preserve">Декабрь </t>
  </si>
  <si>
    <t>Декабрь -Май</t>
  </si>
  <si>
    <t>1.1.1</t>
  </si>
  <si>
    <t>1.1.2</t>
  </si>
  <si>
    <t>Устройство площадки под ММПС</t>
  </si>
  <si>
    <t>ПС Вернинская</t>
  </si>
  <si>
    <t>1.1.3</t>
  </si>
  <si>
    <t>1.1.4</t>
  </si>
  <si>
    <t>май-декабрь</t>
  </si>
  <si>
    <t>Декабрь - Декабрь</t>
  </si>
  <si>
    <t>Апрель-Август</t>
  </si>
  <si>
    <t>Апрель - Август</t>
  </si>
  <si>
    <t>Март - 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</si>
</sst>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_-* #,##0.00[$€-1]_-;\-* #,##0.00[$€-1]_-;_-* &quot;-&quot;??[$€-1]_-"/>
    <numFmt numFmtId="165" formatCode="#,##0.0"/>
    <numFmt numFmtId="166" formatCode="#,##0.000"/>
    <numFmt numFmtId="167" formatCode="#,##0.0000000"/>
    <numFmt numFmtId="168" formatCode="#,##0.00000"/>
    <numFmt numFmtId="169" formatCode="0.0%"/>
  </numFmts>
  <fonts count="8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2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1"/>
      <color indexed="12"/>
      <name val="Calibri"/>
      <family val="2"/>
      <scheme val="minor"/>
    </font>
    <font>
      <sz val="11"/>
      <color rgb="FF329664"/>
      <name val="Calibri"/>
      <family val="2"/>
      <scheme val="minor"/>
    </font>
    <font>
      <sz val="11"/>
      <color rgb="FF0000C0"/>
      <name val="Calibri"/>
      <family val="2"/>
      <scheme val="minor"/>
    </font>
    <font>
      <sz val="8"/>
      <name val="Arial"/>
      <family val="2"/>
      <charset val="1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FF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rgb="FFC00000"/>
      <name val="Times New Roman"/>
      <family val="1"/>
      <charset val="204"/>
    </font>
    <font>
      <b/>
      <sz val="12"/>
      <color rgb="FFC00000"/>
      <name val="Arial"/>
      <family val="2"/>
      <charset val="204"/>
    </font>
    <font>
      <b/>
      <sz val="12"/>
      <color rgb="FF0000FF"/>
      <name val="Arial"/>
      <family val="2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11"/>
      <color rgb="FF00009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99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3"/>
      <color theme="0"/>
      <name val="Times New Roman"/>
      <family val="1"/>
      <charset val="204"/>
    </font>
    <font>
      <b/>
      <sz val="11"/>
      <color rgb="FF0000FF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BDD6E7"/>
        <bgColor indexed="64"/>
      </patternFill>
    </fill>
    <fill>
      <patternFill patternType="solid">
        <fgColor indexed="47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FFACD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AFFFFF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>
      <alignment horizontal="right" vertical="center"/>
    </xf>
    <xf numFmtId="0" fontId="4" fillId="5" borderId="0">
      <alignment horizontal="center" vertical="center"/>
    </xf>
    <xf numFmtId="0" fontId="4" fillId="0" borderId="0">
      <alignment horizontal="right" vertical="center"/>
    </xf>
    <xf numFmtId="0" fontId="4" fillId="5" borderId="0">
      <alignment horizontal="left" vertical="center"/>
    </xf>
    <xf numFmtId="0" fontId="4" fillId="5" borderId="0">
      <alignment horizontal="center" vertical="center"/>
    </xf>
    <xf numFmtId="0" fontId="4" fillId="5" borderId="0">
      <alignment horizontal="center" vertical="center"/>
    </xf>
    <xf numFmtId="0" fontId="4" fillId="6" borderId="0"/>
    <xf numFmtId="0" fontId="4" fillId="0" borderId="0">
      <alignment horizontal="left" vertical="top"/>
    </xf>
    <xf numFmtId="0" fontId="4" fillId="7" borderId="0"/>
    <xf numFmtId="0" fontId="4" fillId="0" borderId="0">
      <alignment horizontal="left" vertical="center"/>
    </xf>
    <xf numFmtId="0" fontId="4" fillId="8" borderId="0"/>
    <xf numFmtId="0" fontId="4" fillId="0" borderId="0">
      <alignment horizontal="right" vertical="center"/>
    </xf>
    <xf numFmtId="0" fontId="4" fillId="9" borderId="0">
      <alignment horizontal="right" vertical="center"/>
    </xf>
    <xf numFmtId="0" fontId="4" fillId="0" borderId="0">
      <alignment horizontal="center" vertical="center"/>
    </xf>
    <xf numFmtId="0" fontId="4" fillId="10" borderId="0"/>
    <xf numFmtId="0" fontId="4" fillId="11" borderId="0"/>
    <xf numFmtId="0" fontId="4" fillId="0" borderId="0">
      <alignment horizontal="center" vertical="center" wrapText="1"/>
    </xf>
    <xf numFmtId="0" fontId="29" fillId="5" borderId="0">
      <alignment horizontal="left" vertical="center" indent="1"/>
    </xf>
    <xf numFmtId="0" fontId="30" fillId="0" borderId="0"/>
    <xf numFmtId="0" fontId="4" fillId="5" borderId="0">
      <alignment horizontal="left" vertical="center"/>
    </xf>
    <xf numFmtId="0" fontId="4" fillId="5" borderId="0">
      <alignment horizontal="center" vertical="center"/>
    </xf>
    <xf numFmtId="0" fontId="4" fillId="10" borderId="0">
      <alignment horizontal="center" vertical="center"/>
    </xf>
    <xf numFmtId="0" fontId="4" fillId="11" borderId="0">
      <alignment horizontal="center" vertical="center"/>
    </xf>
    <xf numFmtId="0" fontId="4" fillId="10" borderId="0">
      <alignment horizontal="left" vertical="center"/>
    </xf>
    <xf numFmtId="0" fontId="4" fillId="11" borderId="0">
      <alignment horizontal="left" vertical="center"/>
    </xf>
    <xf numFmtId="0" fontId="31" fillId="0" borderId="0"/>
    <xf numFmtId="164" fontId="28" fillId="0" borderId="0"/>
    <xf numFmtId="0" fontId="4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9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" fillId="0" borderId="0"/>
  </cellStyleXfs>
  <cellXfs count="61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4" fontId="5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11" fillId="0" borderId="0" xfId="0" applyFont="1"/>
    <xf numFmtId="0" fontId="9" fillId="0" borderId="0" xfId="0" applyFont="1"/>
    <xf numFmtId="0" fontId="12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 applyAlignment="1">
      <alignment horizontal="center" wrapText="1"/>
    </xf>
    <xf numFmtId="4" fontId="14" fillId="0" borderId="0" xfId="0" applyNumberFormat="1" applyFont="1" applyAlignment="1">
      <alignment horizontal="center" vertical="center" wrapText="1"/>
    </xf>
    <xf numFmtId="0" fontId="15" fillId="0" borderId="0" xfId="0" applyFont="1"/>
    <xf numFmtId="0" fontId="5" fillId="0" borderId="0" xfId="0" applyFont="1" applyFill="1"/>
    <xf numFmtId="0" fontId="16" fillId="0" borderId="0" xfId="0" applyFont="1" applyFill="1" applyAlignment="1">
      <alignment vertical="top"/>
    </xf>
    <xf numFmtId="0" fontId="17" fillId="0" borderId="0" xfId="0" applyFont="1" applyFill="1" applyAlignment="1">
      <alignment vertical="top"/>
    </xf>
    <xf numFmtId="3" fontId="5" fillId="0" borderId="0" xfId="0" applyNumberFormat="1" applyFont="1"/>
    <xf numFmtId="3" fontId="18" fillId="2" borderId="1" xfId="0" applyNumberFormat="1" applyFont="1" applyFill="1" applyBorder="1" applyAlignme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0" fillId="0" borderId="11" xfId="0" applyFont="1" applyFill="1" applyBorder="1" applyAlignment="1"/>
    <xf numFmtId="0" fontId="5" fillId="0" borderId="12" xfId="0" applyFont="1" applyBorder="1"/>
    <xf numFmtId="0" fontId="17" fillId="0" borderId="10" xfId="0" applyFont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vertical="center"/>
    </xf>
    <xf numFmtId="3" fontId="18" fillId="0" borderId="12" xfId="0" applyNumberFormat="1" applyFont="1" applyFill="1" applyBorder="1" applyAlignment="1">
      <alignment horizontal="center" vertical="center"/>
    </xf>
    <xf numFmtId="3" fontId="22" fillId="0" borderId="12" xfId="0" applyNumberFormat="1" applyFont="1" applyBorder="1"/>
    <xf numFmtId="0" fontId="19" fillId="0" borderId="2" xfId="0" applyFont="1" applyBorder="1" applyAlignment="1">
      <alignment horizontal="center" vertical="center" wrapText="1"/>
    </xf>
    <xf numFmtId="14" fontId="20" fillId="0" borderId="2" xfId="0" applyNumberFormat="1" applyFont="1" applyFill="1" applyBorder="1" applyAlignment="1">
      <alignment horizontal="center" vertical="center"/>
    </xf>
    <xf numFmtId="14" fontId="19" fillId="0" borderId="12" xfId="0" applyNumberFormat="1" applyFont="1" applyFill="1" applyBorder="1" applyAlignment="1">
      <alignment horizontal="center" vertical="center"/>
    </xf>
    <xf numFmtId="9" fontId="5" fillId="0" borderId="7" xfId="1" applyFont="1" applyBorder="1" applyAlignment="1">
      <alignment horizontal="center" vertical="center"/>
    </xf>
    <xf numFmtId="9" fontId="18" fillId="0" borderId="1" xfId="1" applyFont="1" applyFill="1" applyBorder="1" applyAlignment="1">
      <alignment horizontal="center" vertical="center"/>
    </xf>
    <xf numFmtId="9" fontId="18" fillId="0" borderId="1" xfId="1" applyFont="1" applyFill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12" xfId="0" applyNumberFormat="1" applyFont="1" applyBorder="1"/>
    <xf numFmtId="0" fontId="19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center" vertical="center"/>
    </xf>
    <xf numFmtId="14" fontId="19" fillId="0" borderId="2" xfId="0" applyNumberFormat="1" applyFont="1" applyFill="1" applyBorder="1" applyAlignment="1">
      <alignment horizontal="center" vertical="center"/>
    </xf>
    <xf numFmtId="3" fontId="22" fillId="0" borderId="12" xfId="0" applyNumberFormat="1" applyFont="1" applyFill="1" applyBorder="1"/>
    <xf numFmtId="0" fontId="19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vertical="center" wrapText="1"/>
    </xf>
    <xf numFmtId="14" fontId="20" fillId="0" borderId="10" xfId="0" applyNumberFormat="1" applyFont="1" applyFill="1" applyBorder="1" applyAlignment="1">
      <alignment horizontal="center" vertical="center"/>
    </xf>
    <xf numFmtId="14" fontId="19" fillId="0" borderId="10" xfId="0" applyNumberFormat="1" applyFont="1" applyFill="1" applyBorder="1" applyAlignment="1">
      <alignment horizontal="center" vertical="center"/>
    </xf>
    <xf numFmtId="3" fontId="18" fillId="3" borderId="1" xfId="0" applyNumberFormat="1" applyFont="1" applyFill="1" applyBorder="1" applyAlignment="1">
      <alignment horizontal="center" vertical="center"/>
    </xf>
    <xf numFmtId="3" fontId="25" fillId="0" borderId="12" xfId="0" applyNumberFormat="1" applyFont="1" applyBorder="1"/>
    <xf numFmtId="0" fontId="25" fillId="0" borderId="0" xfId="0" applyFont="1"/>
    <xf numFmtId="14" fontId="20" fillId="0" borderId="12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14" fontId="20" fillId="0" borderId="2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/>
    </xf>
    <xf numFmtId="49" fontId="19" fillId="0" borderId="12" xfId="0" applyNumberFormat="1" applyFont="1" applyFill="1" applyBorder="1" applyAlignment="1">
      <alignment horizontal="center" vertical="center" wrapText="1"/>
    </xf>
    <xf numFmtId="14" fontId="20" fillId="0" borderId="12" xfId="0" applyNumberFormat="1" applyFont="1" applyBorder="1" applyAlignment="1">
      <alignment horizontal="center" vertical="center"/>
    </xf>
    <xf numFmtId="14" fontId="19" fillId="0" borderId="12" xfId="0" applyNumberFormat="1" applyFont="1" applyBorder="1" applyAlignment="1">
      <alignment horizontal="center" vertical="center"/>
    </xf>
    <xf numFmtId="0" fontId="11" fillId="0" borderId="12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11" fillId="0" borderId="12" xfId="2" applyFont="1" applyFill="1" applyBorder="1" applyAlignment="1">
      <alignment horizontal="left" vertical="center" wrapText="1"/>
    </xf>
    <xf numFmtId="3" fontId="5" fillId="0" borderId="0" xfId="0" applyNumberFormat="1" applyFont="1" applyFill="1"/>
    <xf numFmtId="3" fontId="17" fillId="0" borderId="12" xfId="0" applyNumberFormat="1" applyFont="1" applyFill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/>
    </xf>
    <xf numFmtId="49" fontId="19" fillId="2" borderId="12" xfId="0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left" vertical="center" wrapText="1"/>
    </xf>
    <xf numFmtId="0" fontId="5" fillId="2" borderId="0" xfId="0" applyFont="1" applyFill="1" applyBorder="1"/>
    <xf numFmtId="0" fontId="19" fillId="2" borderId="0" xfId="0" applyFont="1" applyFill="1" applyBorder="1" applyAlignment="1">
      <alignment horizontal="center" vertical="center"/>
    </xf>
    <xf numFmtId="14" fontId="20" fillId="2" borderId="12" xfId="0" applyNumberFormat="1" applyFont="1" applyFill="1" applyBorder="1" applyAlignment="1">
      <alignment horizontal="center" vertical="center"/>
    </xf>
    <xf numFmtId="14" fontId="19" fillId="2" borderId="12" xfId="0" applyNumberFormat="1" applyFont="1" applyFill="1" applyBorder="1" applyAlignment="1">
      <alignment horizontal="center" vertical="center"/>
    </xf>
    <xf numFmtId="0" fontId="5" fillId="2" borderId="12" xfId="0" applyFont="1" applyFill="1" applyBorder="1"/>
    <xf numFmtId="3" fontId="5" fillId="0" borderId="12" xfId="0" applyNumberFormat="1" applyFont="1" applyFill="1" applyBorder="1"/>
    <xf numFmtId="0" fontId="16" fillId="0" borderId="12" xfId="0" applyFont="1" applyFill="1" applyBorder="1" applyAlignment="1">
      <alignment horizontal="left" vertical="center" wrapText="1"/>
    </xf>
    <xf numFmtId="0" fontId="5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 wrapText="1"/>
    </xf>
    <xf numFmtId="3" fontId="17" fillId="0" borderId="12" xfId="0" applyNumberFormat="1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/>
    </xf>
    <xf numFmtId="3" fontId="18" fillId="0" borderId="12" xfId="0" applyNumberFormat="1" applyFont="1" applyFill="1" applyBorder="1" applyAlignment="1">
      <alignment vertical="center"/>
    </xf>
    <xf numFmtId="0" fontId="5" fillId="0" borderId="12" xfId="0" applyFont="1" applyFill="1" applyBorder="1"/>
    <xf numFmtId="3" fontId="18" fillId="0" borderId="3" xfId="0" applyNumberFormat="1" applyFont="1" applyFill="1" applyBorder="1" applyAlignment="1">
      <alignment horizontal="center" vertical="center"/>
    </xf>
    <xf numFmtId="49" fontId="19" fillId="4" borderId="10" xfId="0" applyNumberFormat="1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5" fillId="4" borderId="10" xfId="0" applyFont="1" applyFill="1" applyBorder="1"/>
    <xf numFmtId="0" fontId="19" fillId="4" borderId="10" xfId="0" applyFont="1" applyFill="1" applyBorder="1" applyAlignment="1">
      <alignment horizontal="center" vertical="center"/>
    </xf>
    <xf numFmtId="14" fontId="20" fillId="4" borderId="10" xfId="0" applyNumberFormat="1" applyFont="1" applyFill="1" applyBorder="1" applyAlignment="1">
      <alignment horizontal="center" vertical="center"/>
    </xf>
    <xf numFmtId="14" fontId="19" fillId="4" borderId="10" xfId="0" applyNumberFormat="1" applyFont="1" applyFill="1" applyBorder="1" applyAlignment="1">
      <alignment horizontal="center" vertical="center"/>
    </xf>
    <xf numFmtId="4" fontId="17" fillId="4" borderId="6" xfId="0" applyNumberFormat="1" applyFont="1" applyFill="1" applyBorder="1" applyAlignment="1">
      <alignment horizontal="center" vertical="center"/>
    </xf>
    <xf numFmtId="3" fontId="18" fillId="4" borderId="14" xfId="0" applyNumberFormat="1" applyFont="1" applyFill="1" applyBorder="1" applyAlignment="1">
      <alignment horizontal="center" vertical="center"/>
    </xf>
    <xf numFmtId="3" fontId="18" fillId="4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vertical="center"/>
    </xf>
    <xf numFmtId="0" fontId="16" fillId="0" borderId="12" xfId="0" applyFont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vertical="center"/>
    </xf>
    <xf numFmtId="4" fontId="17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8" fillId="0" borderId="0" xfId="0" applyFont="1" applyFill="1"/>
    <xf numFmtId="49" fontId="0" fillId="0" borderId="0" xfId="0" applyNumberFormat="1" applyAlignment="1">
      <alignment horizontal="left" vertical="center" wrapText="1"/>
    </xf>
    <xf numFmtId="3" fontId="24" fillId="0" borderId="1" xfId="0" applyNumberFormat="1" applyFont="1" applyFill="1" applyBorder="1" applyAlignment="1">
      <alignment vertical="center"/>
    </xf>
    <xf numFmtId="9" fontId="18" fillId="12" borderId="1" xfId="1" applyFont="1" applyFill="1" applyBorder="1" applyAlignment="1">
      <alignment vertical="center"/>
    </xf>
    <xf numFmtId="0" fontId="19" fillId="0" borderId="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/>
    </xf>
    <xf numFmtId="14" fontId="20" fillId="0" borderId="6" xfId="0" applyNumberFormat="1" applyFont="1" applyFill="1" applyBorder="1" applyAlignment="1">
      <alignment horizontal="center" vertical="center"/>
    </xf>
    <xf numFmtId="14" fontId="19" fillId="0" borderId="6" xfId="0" applyNumberFormat="1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left" vertical="center" wrapText="1"/>
    </xf>
    <xf numFmtId="14" fontId="17" fillId="0" borderId="0" xfId="0" applyNumberFormat="1" applyFont="1" applyFill="1" applyAlignment="1">
      <alignment vertical="top"/>
    </xf>
    <xf numFmtId="9" fontId="18" fillId="12" borderId="1" xfId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left" vertical="center" wrapText="1"/>
    </xf>
    <xf numFmtId="9" fontId="17" fillId="0" borderId="1" xfId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vertical="center"/>
    </xf>
    <xf numFmtId="4" fontId="18" fillId="3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vertical="center"/>
    </xf>
    <xf numFmtId="4" fontId="24" fillId="0" borderId="1" xfId="0" applyNumberFormat="1" applyFont="1" applyFill="1" applyBorder="1" applyAlignment="1">
      <alignment horizontal="center" vertical="center"/>
    </xf>
    <xf numFmtId="10" fontId="18" fillId="12" borderId="1" xfId="1" applyNumberFormat="1" applyFont="1" applyFill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5" fillId="0" borderId="0" xfId="0" applyNumberFormat="1" applyFont="1"/>
    <xf numFmtId="4" fontId="5" fillId="0" borderId="7" xfId="0" applyNumberFormat="1" applyFont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3" xfId="0" applyNumberFormat="1" applyFont="1" applyFill="1" applyBorder="1" applyAlignment="1">
      <alignment horizontal="center" vertical="center"/>
    </xf>
    <xf numFmtId="4" fontId="17" fillId="4" borderId="14" xfId="0" applyNumberFormat="1" applyFont="1" applyFill="1" applyBorder="1" applyAlignment="1">
      <alignment horizontal="center" vertical="center"/>
    </xf>
    <xf numFmtId="164" fontId="40" fillId="0" borderId="0" xfId="29" applyFont="1" applyFill="1" applyBorder="1" applyAlignment="1">
      <alignment horizontal="left" vertical="top" wrapText="1" indent="2"/>
    </xf>
    <xf numFmtId="165" fontId="5" fillId="13" borderId="7" xfId="0" applyNumberFormat="1" applyFont="1" applyFill="1" applyBorder="1" applyAlignment="1">
      <alignment horizontal="center" vertical="center"/>
    </xf>
    <xf numFmtId="165" fontId="17" fillId="13" borderId="1" xfId="0" applyNumberFormat="1" applyFont="1" applyFill="1" applyBorder="1" applyAlignment="1">
      <alignment horizontal="center" vertical="center"/>
    </xf>
    <xf numFmtId="165" fontId="5" fillId="18" borderId="7" xfId="0" applyNumberFormat="1" applyFont="1" applyFill="1" applyBorder="1" applyAlignment="1">
      <alignment horizontal="center" vertical="center"/>
    </xf>
    <xf numFmtId="165" fontId="5" fillId="16" borderId="7" xfId="0" applyNumberFormat="1" applyFont="1" applyFill="1" applyBorder="1" applyAlignment="1">
      <alignment horizontal="center" vertical="center"/>
    </xf>
    <xf numFmtId="165" fontId="17" fillId="16" borderId="1" xfId="0" applyNumberFormat="1" applyFont="1" applyFill="1" applyBorder="1" applyAlignment="1">
      <alignment horizontal="center" vertical="center"/>
    </xf>
    <xf numFmtId="165" fontId="17" fillId="19" borderId="1" xfId="0" applyNumberFormat="1" applyFont="1" applyFill="1" applyBorder="1" applyAlignment="1">
      <alignment horizontal="center" vertical="center"/>
    </xf>
    <xf numFmtId="165" fontId="5" fillId="19" borderId="7" xfId="0" applyNumberFormat="1" applyFont="1" applyFill="1" applyBorder="1" applyAlignment="1">
      <alignment horizontal="center" vertical="center"/>
    </xf>
    <xf numFmtId="0" fontId="39" fillId="17" borderId="12" xfId="0" applyFont="1" applyFill="1" applyBorder="1"/>
    <xf numFmtId="4" fontId="5" fillId="0" borderId="12" xfId="0" applyNumberFormat="1" applyFont="1" applyBorder="1"/>
    <xf numFmtId="3" fontId="14" fillId="19" borderId="12" xfId="0" applyNumberFormat="1" applyFont="1" applyFill="1" applyBorder="1"/>
    <xf numFmtId="164" fontId="43" fillId="17" borderId="12" xfId="29" applyFont="1" applyFill="1" applyBorder="1" applyAlignment="1">
      <alignment horizontal="left" vertical="top" wrapText="1" indent="2"/>
    </xf>
    <xf numFmtId="3" fontId="14" fillId="16" borderId="12" xfId="0" applyNumberFormat="1" applyFont="1" applyFill="1" applyBorder="1"/>
    <xf numFmtId="3" fontId="14" fillId="13" borderId="12" xfId="0" applyNumberFormat="1" applyFont="1" applyFill="1" applyBorder="1"/>
    <xf numFmtId="3" fontId="14" fillId="18" borderId="12" xfId="0" applyNumberFormat="1" applyFont="1" applyFill="1" applyBorder="1"/>
    <xf numFmtId="3" fontId="14" fillId="0" borderId="12" xfId="0" applyNumberFormat="1" applyFont="1" applyBorder="1"/>
    <xf numFmtId="4" fontId="17" fillId="0" borderId="0" xfId="0" applyNumberFormat="1" applyFont="1" applyFill="1" applyAlignment="1">
      <alignment vertical="top"/>
    </xf>
    <xf numFmtId="0" fontId="21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3" fontId="17" fillId="0" borderId="3" xfId="0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vertical="center"/>
    </xf>
    <xf numFmtId="14" fontId="19" fillId="0" borderId="3" xfId="0" applyNumberFormat="1" applyFont="1" applyFill="1" applyBorder="1" applyAlignment="1">
      <alignment horizontal="center" vertical="center"/>
    </xf>
    <xf numFmtId="3" fontId="17" fillId="0" borderId="5" xfId="0" applyNumberFormat="1" applyFont="1" applyFill="1" applyBorder="1" applyAlignment="1">
      <alignment horizontal="center" vertical="center"/>
    </xf>
    <xf numFmtId="0" fontId="17" fillId="14" borderId="10" xfId="0" applyFont="1" applyFill="1" applyBorder="1" applyAlignment="1">
      <alignment horizontal="center" vertical="center" wrapText="1"/>
    </xf>
    <xf numFmtId="0" fontId="5" fillId="14" borderId="11" xfId="0" applyFont="1" applyFill="1" applyBorder="1" applyAlignment="1">
      <alignment horizontal="center" vertical="center"/>
    </xf>
    <xf numFmtId="0" fontId="5" fillId="14" borderId="8" xfId="0" applyFont="1" applyFill="1" applyBorder="1" applyAlignment="1">
      <alignment horizontal="center" vertical="center"/>
    </xf>
    <xf numFmtId="0" fontId="19" fillId="14" borderId="12" xfId="0" applyFont="1" applyFill="1" applyBorder="1" applyAlignment="1">
      <alignment horizontal="center" vertical="center"/>
    </xf>
    <xf numFmtId="0" fontId="5" fillId="14" borderId="12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0" fontId="5" fillId="14" borderId="10" xfId="0" applyFont="1" applyFill="1" applyBorder="1" applyAlignment="1">
      <alignment horizontal="center" vertical="center"/>
    </xf>
    <xf numFmtId="4" fontId="5" fillId="14" borderId="10" xfId="0" applyNumberFormat="1" applyFont="1" applyFill="1" applyBorder="1" applyAlignment="1">
      <alignment horizontal="center" vertical="center"/>
    </xf>
    <xf numFmtId="167" fontId="5" fillId="16" borderId="7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5" fillId="0" borderId="0" xfId="0" applyFont="1" applyBorder="1"/>
    <xf numFmtId="14" fontId="20" fillId="0" borderId="0" xfId="0" applyNumberFormat="1" applyFont="1" applyFill="1" applyBorder="1" applyAlignment="1">
      <alignment horizontal="center" vertical="center"/>
    </xf>
    <xf numFmtId="14" fontId="19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168" fontId="18" fillId="0" borderId="0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164" fontId="40" fillId="15" borderId="12" xfId="29" applyFont="1" applyFill="1" applyBorder="1" applyAlignment="1">
      <alignment horizontal="left" vertical="top" wrapText="1" indent="2"/>
    </xf>
    <xf numFmtId="168" fontId="0" fillId="0" borderId="0" xfId="0" applyNumberFormat="1"/>
    <xf numFmtId="4" fontId="17" fillId="4" borderId="12" xfId="0" applyNumberFormat="1" applyFont="1" applyFill="1" applyBorder="1" applyAlignment="1">
      <alignment horizontal="center" vertical="center"/>
    </xf>
    <xf numFmtId="3" fontId="18" fillId="4" borderId="12" xfId="0" applyNumberFormat="1" applyFont="1" applyFill="1" applyBorder="1" applyAlignment="1">
      <alignment horizontal="center" vertical="center"/>
    </xf>
    <xf numFmtId="165" fontId="46" fillId="0" borderId="0" xfId="0" applyNumberFormat="1" applyFont="1"/>
    <xf numFmtId="49" fontId="19" fillId="4" borderId="12" xfId="0" applyNumberFormat="1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left" vertical="center" wrapText="1"/>
    </xf>
    <xf numFmtId="0" fontId="5" fillId="4" borderId="12" xfId="0" applyFont="1" applyFill="1" applyBorder="1"/>
    <xf numFmtId="0" fontId="19" fillId="4" borderId="12" xfId="0" applyFont="1" applyFill="1" applyBorder="1" applyAlignment="1">
      <alignment horizontal="center" vertical="center"/>
    </xf>
    <xf numFmtId="14" fontId="20" fillId="4" borderId="12" xfId="0" applyNumberFormat="1" applyFont="1" applyFill="1" applyBorder="1" applyAlignment="1">
      <alignment horizontal="center" vertical="center"/>
    </xf>
    <xf numFmtId="14" fontId="19" fillId="4" borderId="12" xfId="0" applyNumberFormat="1" applyFont="1" applyFill="1" applyBorder="1" applyAlignment="1">
      <alignment horizontal="center" vertical="center"/>
    </xf>
    <xf numFmtId="14" fontId="19" fillId="4" borderId="1" xfId="0" applyNumberFormat="1" applyFont="1" applyFill="1" applyBorder="1" applyAlignment="1">
      <alignment horizontal="center" vertical="center"/>
    </xf>
    <xf numFmtId="4" fontId="17" fillId="4" borderId="13" xfId="0" applyNumberFormat="1" applyFont="1" applyFill="1" applyBorder="1" applyAlignment="1">
      <alignment horizontal="center" vertical="center"/>
    </xf>
    <xf numFmtId="3" fontId="18" fillId="4" borderId="1" xfId="0" applyNumberFormat="1" applyFont="1" applyFill="1" applyBorder="1" applyAlignment="1">
      <alignment horizontal="center" vertical="center"/>
    </xf>
    <xf numFmtId="9" fontId="18" fillId="20" borderId="1" xfId="1" applyFont="1" applyFill="1" applyBorder="1" applyAlignment="1">
      <alignment vertical="center"/>
    </xf>
    <xf numFmtId="9" fontId="18" fillId="20" borderId="1" xfId="1" applyFont="1" applyFill="1" applyBorder="1" applyAlignment="1">
      <alignment horizontal="center" vertical="center"/>
    </xf>
    <xf numFmtId="3" fontId="18" fillId="2" borderId="0" xfId="0" applyNumberFormat="1" applyFont="1" applyFill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0" fontId="5" fillId="21" borderId="5" xfId="0" applyFont="1" applyFill="1" applyBorder="1" applyAlignment="1">
      <alignment horizontal="center" vertical="center" wrapText="1"/>
    </xf>
    <xf numFmtId="0" fontId="5" fillId="21" borderId="9" xfId="0" applyFont="1" applyFill="1" applyBorder="1" applyAlignment="1">
      <alignment horizontal="center" vertical="center" wrapText="1"/>
    </xf>
    <xf numFmtId="168" fontId="18" fillId="21" borderId="0" xfId="0" applyNumberFormat="1" applyFont="1" applyFill="1" applyBorder="1" applyAlignment="1">
      <alignment horizontal="center" vertical="center"/>
    </xf>
    <xf numFmtId="3" fontId="18" fillId="21" borderId="1" xfId="0" applyNumberFormat="1" applyFont="1" applyFill="1" applyBorder="1" applyAlignment="1">
      <alignment horizontal="center" vertical="center"/>
    </xf>
    <xf numFmtId="3" fontId="22" fillId="21" borderId="12" xfId="0" applyNumberFormat="1" applyFont="1" applyFill="1" applyBorder="1" applyAlignment="1">
      <alignment horizontal="center" vertical="center"/>
    </xf>
    <xf numFmtId="168" fontId="47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14" borderId="6" xfId="0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horizontal="center" vertical="center"/>
    </xf>
    <xf numFmtId="4" fontId="5" fillId="14" borderId="7" xfId="0" applyNumberFormat="1" applyFont="1" applyFill="1" applyBorder="1" applyAlignment="1">
      <alignment horizontal="center" vertical="center"/>
    </xf>
    <xf numFmtId="0" fontId="19" fillId="21" borderId="11" xfId="0" applyFont="1" applyFill="1" applyBorder="1" applyAlignment="1">
      <alignment horizontal="center" vertical="center"/>
    </xf>
    <xf numFmtId="4" fontId="5" fillId="0" borderId="0" xfId="0" applyNumberFormat="1" applyFont="1" applyFill="1"/>
    <xf numFmtId="165" fontId="5" fillId="21" borderId="0" xfId="0" applyNumberFormat="1" applyFont="1" applyFill="1"/>
    <xf numFmtId="4" fontId="18" fillId="2" borderId="1" xfId="0" applyNumberFormat="1" applyFont="1" applyFill="1" applyBorder="1" applyAlignment="1">
      <alignment vertical="center"/>
    </xf>
    <xf numFmtId="4" fontId="48" fillId="2" borderId="1" xfId="0" applyNumberFormat="1" applyFont="1" applyFill="1" applyBorder="1" applyAlignment="1">
      <alignment horizontal="center" vertical="center"/>
    </xf>
    <xf numFmtId="4" fontId="24" fillId="2" borderId="1" xfId="0" applyNumberFormat="1" applyFont="1" applyFill="1" applyBorder="1" applyAlignment="1">
      <alignment vertical="center"/>
    </xf>
    <xf numFmtId="9" fontId="17" fillId="0" borderId="0" xfId="0" applyNumberFormat="1" applyFont="1" applyFill="1" applyAlignment="1">
      <alignment vertical="top"/>
    </xf>
    <xf numFmtId="3" fontId="17" fillId="0" borderId="0" xfId="0" applyNumberFormat="1" applyFont="1" applyFill="1" applyAlignment="1">
      <alignment vertical="top"/>
    </xf>
    <xf numFmtId="9" fontId="5" fillId="0" borderId="0" xfId="0" applyNumberFormat="1" applyFont="1" applyFill="1"/>
    <xf numFmtId="0" fontId="19" fillId="2" borderId="1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4" fontId="18" fillId="21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3" fontId="25" fillId="0" borderId="12" xfId="0" applyNumberFormat="1" applyFont="1" applyFill="1" applyBorder="1"/>
    <xf numFmtId="0" fontId="25" fillId="0" borderId="0" xfId="0" applyFont="1" applyFill="1"/>
    <xf numFmtId="165" fontId="50" fillId="18" borderId="7" xfId="0" applyNumberFormat="1" applyFont="1" applyFill="1" applyBorder="1" applyAlignment="1">
      <alignment horizontal="center" vertical="center"/>
    </xf>
    <xf numFmtId="165" fontId="50" fillId="19" borderId="7" xfId="0" applyNumberFormat="1" applyFont="1" applyFill="1" applyBorder="1" applyAlignment="1">
      <alignment horizontal="center" vertical="center"/>
    </xf>
    <xf numFmtId="165" fontId="50" fillId="13" borderId="7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vertical="top"/>
    </xf>
    <xf numFmtId="9" fontId="24" fillId="20" borderId="1" xfId="1" applyFont="1" applyFill="1" applyBorder="1" applyAlignment="1">
      <alignment vertical="center"/>
    </xf>
    <xf numFmtId="9" fontId="15" fillId="0" borderId="0" xfId="0" applyNumberFormat="1" applyFont="1"/>
    <xf numFmtId="9" fontId="18" fillId="0" borderId="1" xfId="0" applyNumberFormat="1" applyFont="1" applyFill="1" applyBorder="1" applyAlignment="1">
      <alignment vertical="center"/>
    </xf>
    <xf numFmtId="9" fontId="24" fillId="0" borderId="1" xfId="1" applyFont="1" applyFill="1" applyBorder="1" applyAlignment="1">
      <alignment vertical="center"/>
    </xf>
    <xf numFmtId="9" fontId="24" fillId="12" borderId="1" xfId="1" applyFont="1" applyFill="1" applyBorder="1" applyAlignment="1">
      <alignment vertical="center"/>
    </xf>
    <xf numFmtId="10" fontId="17" fillId="0" borderId="0" xfId="0" applyNumberFormat="1" applyFont="1" applyFill="1" applyAlignment="1">
      <alignment vertical="top"/>
    </xf>
    <xf numFmtId="10" fontId="5" fillId="0" borderId="0" xfId="0" applyNumberFormat="1" applyFont="1" applyFill="1"/>
    <xf numFmtId="165" fontId="17" fillId="0" borderId="6" xfId="0" applyNumberFormat="1" applyFont="1" applyBorder="1" applyAlignment="1">
      <alignment horizontal="center" vertical="center" wrapText="1"/>
    </xf>
    <xf numFmtId="9" fontId="5" fillId="0" borderId="7" xfId="41" applyFont="1" applyBorder="1" applyAlignment="1">
      <alignment horizontal="center" vertical="center"/>
    </xf>
    <xf numFmtId="9" fontId="18" fillId="17" borderId="1" xfId="41" applyFont="1" applyFill="1" applyBorder="1" applyAlignment="1">
      <alignment vertical="center"/>
    </xf>
    <xf numFmtId="9" fontId="18" fillId="12" borderId="1" xfId="41" applyFont="1" applyFill="1" applyBorder="1" applyAlignment="1">
      <alignment horizontal="center" vertical="center"/>
    </xf>
    <xf numFmtId="9" fontId="18" fillId="0" borderId="1" xfId="41" applyFont="1" applyFill="1" applyBorder="1" applyAlignment="1">
      <alignment vertical="center"/>
    </xf>
    <xf numFmtId="165" fontId="25" fillId="16" borderId="7" xfId="0" applyNumberFormat="1" applyFont="1" applyFill="1" applyBorder="1" applyAlignment="1">
      <alignment horizontal="center" vertical="center"/>
    </xf>
    <xf numFmtId="9" fontId="18" fillId="0" borderId="1" xfId="41" applyFont="1" applyFill="1" applyBorder="1" applyAlignment="1">
      <alignment horizontal="center" vertical="center"/>
    </xf>
    <xf numFmtId="9" fontId="18" fillId="12" borderId="1" xfId="41" applyFont="1" applyFill="1" applyBorder="1" applyAlignment="1">
      <alignment vertical="center"/>
    </xf>
    <xf numFmtId="0" fontId="51" fillId="0" borderId="2" xfId="0" applyFont="1" applyFill="1" applyBorder="1" applyAlignment="1">
      <alignment horizontal="left" vertical="center" wrapText="1"/>
    </xf>
    <xf numFmtId="9" fontId="18" fillId="17" borderId="1" xfId="41" applyFont="1" applyFill="1" applyBorder="1" applyAlignment="1">
      <alignment horizontal="center" vertical="center"/>
    </xf>
    <xf numFmtId="10" fontId="5" fillId="0" borderId="0" xfId="0" applyNumberFormat="1" applyFont="1"/>
    <xf numFmtId="0" fontId="52" fillId="0" borderId="6" xfId="0" applyFont="1" applyFill="1" applyBorder="1" applyAlignment="1">
      <alignment horizontal="left" vertical="center" wrapText="1"/>
    </xf>
    <xf numFmtId="10" fontId="18" fillId="17" borderId="1" xfId="41" applyNumberFormat="1" applyFont="1" applyFill="1" applyBorder="1" applyAlignment="1">
      <alignment horizontal="center" vertical="center"/>
    </xf>
    <xf numFmtId="165" fontId="25" fillId="13" borderId="7" xfId="0" applyNumberFormat="1" applyFont="1" applyFill="1" applyBorder="1" applyAlignment="1">
      <alignment horizontal="center" vertical="center"/>
    </xf>
    <xf numFmtId="4" fontId="48" fillId="0" borderId="1" xfId="0" applyNumberFormat="1" applyFont="1" applyFill="1" applyBorder="1" applyAlignment="1">
      <alignment horizontal="center" vertical="center"/>
    </xf>
    <xf numFmtId="9" fontId="5" fillId="0" borderId="7" xfId="41" applyFont="1" applyFill="1" applyBorder="1" applyAlignment="1">
      <alignment horizontal="center" vertical="center"/>
    </xf>
    <xf numFmtId="9" fontId="48" fillId="0" borderId="1" xfId="41" applyFont="1" applyFill="1" applyBorder="1" applyAlignment="1">
      <alignment horizontal="center" vertical="center"/>
    </xf>
    <xf numFmtId="165" fontId="25" fillId="0" borderId="7" xfId="0" applyNumberFormat="1" applyFont="1" applyFill="1" applyBorder="1" applyAlignment="1">
      <alignment horizontal="center" vertical="center"/>
    </xf>
    <xf numFmtId="4" fontId="48" fillId="0" borderId="1" xfId="0" applyNumberFormat="1" applyFont="1" applyFill="1" applyBorder="1" applyAlignment="1">
      <alignment vertical="center"/>
    </xf>
    <xf numFmtId="9" fontId="18" fillId="23" borderId="1" xfId="41" applyFont="1" applyFill="1" applyBorder="1" applyAlignment="1">
      <alignment vertical="center"/>
    </xf>
    <xf numFmtId="3" fontId="18" fillId="23" borderId="1" xfId="0" applyNumberFormat="1" applyFont="1" applyFill="1" applyBorder="1" applyAlignment="1">
      <alignment vertical="center"/>
    </xf>
    <xf numFmtId="0" fontId="53" fillId="0" borderId="2" xfId="0" applyFont="1" applyFill="1" applyBorder="1" applyAlignment="1">
      <alignment horizontal="left" vertical="center" wrapText="1"/>
    </xf>
    <xf numFmtId="9" fontId="17" fillId="0" borderId="1" xfId="41" applyFont="1" applyFill="1" applyBorder="1" applyAlignment="1">
      <alignment horizontal="center" vertical="center"/>
    </xf>
    <xf numFmtId="165" fontId="25" fillId="16" borderId="1" xfId="0" applyNumberFormat="1" applyFont="1" applyFill="1" applyBorder="1" applyAlignment="1">
      <alignment horizontal="center" vertical="center"/>
    </xf>
    <xf numFmtId="165" fontId="25" fillId="13" borderId="1" xfId="0" applyNumberFormat="1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54" fillId="0" borderId="12" xfId="0" applyFont="1" applyFill="1" applyBorder="1" applyAlignment="1">
      <alignment horizontal="center" vertical="center"/>
    </xf>
    <xf numFmtId="14" fontId="54" fillId="0" borderId="2" xfId="0" applyNumberFormat="1" applyFont="1" applyFill="1" applyBorder="1" applyAlignment="1">
      <alignment horizontal="center" vertical="center"/>
    </xf>
    <xf numFmtId="14" fontId="54" fillId="0" borderId="12" xfId="0" applyNumberFormat="1" applyFont="1" applyFill="1" applyBorder="1" applyAlignment="1">
      <alignment horizontal="center" vertical="center"/>
    </xf>
    <xf numFmtId="9" fontId="25" fillId="0" borderId="7" xfId="41" applyFont="1" applyBorder="1" applyAlignment="1">
      <alignment horizontal="center" vertical="center"/>
    </xf>
    <xf numFmtId="0" fontId="55" fillId="0" borderId="10" xfId="0" applyFont="1" applyBorder="1" applyAlignment="1">
      <alignment horizontal="center" vertical="center"/>
    </xf>
    <xf numFmtId="165" fontId="25" fillId="18" borderId="7" xfId="0" applyNumberFormat="1" applyFont="1" applyFill="1" applyBorder="1" applyAlignment="1">
      <alignment horizontal="center" vertical="center"/>
    </xf>
    <xf numFmtId="4" fontId="56" fillId="0" borderId="0" xfId="0" applyNumberFormat="1" applyFont="1" applyFill="1"/>
    <xf numFmtId="0" fontId="44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wrapText="1"/>
    </xf>
    <xf numFmtId="0" fontId="58" fillId="0" borderId="0" xfId="0" applyFont="1"/>
    <xf numFmtId="4" fontId="22" fillId="0" borderId="12" xfId="0" applyNumberFormat="1" applyFont="1" applyBorder="1" applyAlignment="1">
      <alignment horizontal="center" vertical="center" wrapText="1"/>
    </xf>
    <xf numFmtId="4" fontId="58" fillId="0" borderId="12" xfId="0" applyNumberFormat="1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wrapText="1"/>
    </xf>
    <xf numFmtId="0" fontId="27" fillId="0" borderId="10" xfId="0" applyFont="1" applyBorder="1" applyAlignment="1">
      <alignment horizontal="left"/>
    </xf>
    <xf numFmtId="0" fontId="60" fillId="0" borderId="0" xfId="0" applyFont="1"/>
    <xf numFmtId="9" fontId="27" fillId="0" borderId="7" xfId="41" applyFont="1" applyBorder="1" applyAlignment="1">
      <alignment horizontal="center" vertical="center"/>
    </xf>
    <xf numFmtId="9" fontId="60" fillId="0" borderId="7" xfId="41" applyFont="1" applyBorder="1" applyAlignment="1">
      <alignment horizontal="center" vertical="center"/>
    </xf>
    <xf numFmtId="169" fontId="24" fillId="19" borderId="1" xfId="0" applyNumberFormat="1" applyFont="1" applyFill="1" applyBorder="1" applyAlignment="1">
      <alignment horizontal="center" vertical="center"/>
    </xf>
    <xf numFmtId="0" fontId="60" fillId="0" borderId="12" xfId="0" applyFont="1" applyBorder="1" applyAlignment="1">
      <alignment horizontal="center" vertical="center"/>
    </xf>
    <xf numFmtId="49" fontId="61" fillId="0" borderId="10" xfId="0" applyNumberFormat="1" applyFont="1" applyBorder="1"/>
    <xf numFmtId="0" fontId="22" fillId="0" borderId="10" xfId="0" applyFont="1" applyBorder="1" applyAlignment="1">
      <alignment horizontal="left"/>
    </xf>
    <xf numFmtId="4" fontId="58" fillId="0" borderId="7" xfId="0" applyNumberFormat="1" applyFont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/>
    </xf>
    <xf numFmtId="9" fontId="22" fillId="0" borderId="7" xfId="41" applyFont="1" applyBorder="1" applyAlignment="1">
      <alignment horizontal="center" vertical="center"/>
    </xf>
    <xf numFmtId="9" fontId="58" fillId="0" borderId="7" xfId="41" applyFont="1" applyBorder="1" applyAlignment="1">
      <alignment horizontal="center" vertical="center"/>
    </xf>
    <xf numFmtId="9" fontId="24" fillId="19" borderId="1" xfId="0" applyNumberFormat="1" applyFont="1" applyFill="1" applyBorder="1" applyAlignment="1">
      <alignment horizontal="center" vertical="center"/>
    </xf>
    <xf numFmtId="0" fontId="24" fillId="0" borderId="12" xfId="0" applyFont="1" applyBorder="1"/>
    <xf numFmtId="4" fontId="24" fillId="0" borderId="12" xfId="0" applyNumberFormat="1" applyFont="1" applyBorder="1" applyAlignment="1">
      <alignment horizontal="center"/>
    </xf>
    <xf numFmtId="0" fontId="58" fillId="0" borderId="12" xfId="0" applyFont="1" applyBorder="1"/>
    <xf numFmtId="169" fontId="24" fillId="19" borderId="12" xfId="0" applyNumberFormat="1" applyFont="1" applyFill="1" applyBorder="1"/>
    <xf numFmtId="4" fontId="61" fillId="0" borderId="12" xfId="0" applyNumberFormat="1" applyFont="1" applyBorder="1" applyAlignment="1">
      <alignment horizontal="center" vertical="center"/>
    </xf>
    <xf numFmtId="165" fontId="24" fillId="0" borderId="12" xfId="0" applyNumberFormat="1" applyFont="1" applyFill="1" applyBorder="1"/>
    <xf numFmtId="49" fontId="61" fillId="17" borderId="10" xfId="0" applyNumberFormat="1" applyFont="1" applyFill="1" applyBorder="1"/>
    <xf numFmtId="0" fontId="22" fillId="17" borderId="12" xfId="0" applyFont="1" applyFill="1" applyBorder="1" applyAlignment="1">
      <alignment horizontal="left" wrapText="1"/>
    </xf>
    <xf numFmtId="0" fontId="58" fillId="17" borderId="0" xfId="0" applyFont="1" applyFill="1"/>
    <xf numFmtId="9" fontId="22" fillId="17" borderId="7" xfId="41" applyFont="1" applyFill="1" applyBorder="1" applyAlignment="1">
      <alignment horizontal="center" vertical="center"/>
    </xf>
    <xf numFmtId="9" fontId="58" fillId="17" borderId="7" xfId="41" applyFont="1" applyFill="1" applyBorder="1" applyAlignment="1">
      <alignment horizontal="center" vertical="center"/>
    </xf>
    <xf numFmtId="169" fontId="24" fillId="17" borderId="12" xfId="0" applyNumberFormat="1" applyFont="1" applyFill="1" applyBorder="1"/>
    <xf numFmtId="49" fontId="61" fillId="0" borderId="10" xfId="0" applyNumberFormat="1" applyFont="1" applyFill="1" applyBorder="1"/>
    <xf numFmtId="0" fontId="22" fillId="0" borderId="12" xfId="0" applyFont="1" applyFill="1" applyBorder="1" applyAlignment="1">
      <alignment horizontal="left"/>
    </xf>
    <xf numFmtId="0" fontId="58" fillId="0" borderId="0" xfId="0" applyFont="1" applyFill="1"/>
    <xf numFmtId="3" fontId="60" fillId="0" borderId="7" xfId="41" applyNumberFormat="1" applyFont="1" applyFill="1" applyBorder="1" applyAlignment="1">
      <alignment horizontal="center" vertical="center"/>
    </xf>
    <xf numFmtId="165" fontId="58" fillId="0" borderId="7" xfId="0" applyNumberFormat="1" applyFont="1" applyBorder="1" applyAlignment="1">
      <alignment horizontal="center" vertical="center"/>
    </xf>
    <xf numFmtId="4" fontId="24" fillId="0" borderId="12" xfId="0" applyNumberFormat="1" applyFont="1" applyBorder="1"/>
    <xf numFmtId="49" fontId="61" fillId="0" borderId="6" xfId="0" applyNumberFormat="1" applyFont="1" applyBorder="1"/>
    <xf numFmtId="0" fontId="22" fillId="0" borderId="2" xfId="0" applyFont="1" applyFill="1" applyBorder="1" applyAlignment="1">
      <alignment horizontal="left"/>
    </xf>
    <xf numFmtId="4" fontId="58" fillId="0" borderId="2" xfId="0" applyNumberFormat="1" applyFont="1" applyBorder="1" applyAlignment="1">
      <alignment horizontal="center" vertical="center"/>
    </xf>
    <xf numFmtId="165" fontId="58" fillId="0" borderId="14" xfId="0" applyNumberFormat="1" applyFont="1" applyBorder="1" applyAlignment="1">
      <alignment horizontal="center" vertical="center"/>
    </xf>
    <xf numFmtId="0" fontId="24" fillId="0" borderId="2" xfId="0" applyFont="1" applyBorder="1"/>
    <xf numFmtId="4" fontId="24" fillId="0" borderId="2" xfId="0" applyNumberFormat="1" applyFont="1" applyBorder="1"/>
    <xf numFmtId="0" fontId="58" fillId="0" borderId="2" xfId="0" applyFont="1" applyBorder="1"/>
    <xf numFmtId="0" fontId="58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/>
    </xf>
    <xf numFmtId="0" fontId="14" fillId="22" borderId="0" xfId="0" applyFont="1" applyFill="1"/>
    <xf numFmtId="4" fontId="14" fillId="22" borderId="0" xfId="0" applyNumberFormat="1" applyFont="1" applyFill="1" applyAlignment="1">
      <alignment horizontal="center" vertical="center"/>
    </xf>
    <xf numFmtId="9" fontId="5" fillId="0" borderId="0" xfId="0" applyNumberFormat="1" applyFont="1"/>
    <xf numFmtId="4" fontId="24" fillId="2" borderId="1" xfId="0" applyNumberFormat="1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right" vertical="center"/>
    </xf>
    <xf numFmtId="10" fontId="18" fillId="0" borderId="1" xfId="0" applyNumberFormat="1" applyFont="1" applyFill="1" applyBorder="1" applyAlignment="1">
      <alignment vertical="center"/>
    </xf>
    <xf numFmtId="4" fontId="48" fillId="2" borderId="1" xfId="0" applyNumberFormat="1" applyFont="1" applyFill="1" applyBorder="1" applyAlignment="1">
      <alignment horizontal="right" vertical="center"/>
    </xf>
    <xf numFmtId="9" fontId="18" fillId="12" borderId="1" xfId="0" applyNumberFormat="1" applyFont="1" applyFill="1" applyBorder="1" applyAlignment="1">
      <alignment vertical="center"/>
    </xf>
    <xf numFmtId="9" fontId="18" fillId="0" borderId="0" xfId="0" applyNumberFormat="1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9" fontId="18" fillId="2" borderId="1" xfId="41" applyFont="1" applyFill="1" applyBorder="1" applyAlignment="1">
      <alignment horizontal="center" vertical="center"/>
    </xf>
    <xf numFmtId="9" fontId="48" fillId="2" borderId="1" xfId="41" applyFont="1" applyFill="1" applyBorder="1" applyAlignment="1">
      <alignment horizontal="center" vertical="center"/>
    </xf>
    <xf numFmtId="0" fontId="2" fillId="0" borderId="12" xfId="43" applyFill="1" applyBorder="1"/>
    <xf numFmtId="0" fontId="2" fillId="0" borderId="12" xfId="43" applyFill="1" applyBorder="1" applyAlignment="1">
      <alignment horizontal="center"/>
    </xf>
    <xf numFmtId="0" fontId="62" fillId="0" borderId="12" xfId="43" applyFont="1" applyFill="1" applyBorder="1" applyAlignment="1">
      <alignment horizontal="center"/>
    </xf>
    <xf numFmtId="0" fontId="2" fillId="0" borderId="0" xfId="43"/>
    <xf numFmtId="0" fontId="2" fillId="0" borderId="12" xfId="43" applyBorder="1"/>
    <xf numFmtId="0" fontId="63" fillId="0" borderId="12" xfId="43" applyFont="1" applyFill="1" applyBorder="1"/>
    <xf numFmtId="0" fontId="36" fillId="0" borderId="12" xfId="43" applyFont="1" applyFill="1" applyBorder="1"/>
    <xf numFmtId="0" fontId="62" fillId="0" borderId="12" xfId="43" applyFont="1" applyFill="1" applyBorder="1"/>
    <xf numFmtId="4" fontId="44" fillId="0" borderId="12" xfId="43" applyNumberFormat="1" applyFont="1" applyBorder="1"/>
    <xf numFmtId="4" fontId="64" fillId="0" borderId="12" xfId="43" applyNumberFormat="1" applyFont="1" applyFill="1" applyBorder="1"/>
    <xf numFmtId="4" fontId="45" fillId="0" borderId="12" xfId="43" applyNumberFormat="1" applyFont="1" applyBorder="1"/>
    <xf numFmtId="4" fontId="65" fillId="0" borderId="12" xfId="43" applyNumberFormat="1" applyFont="1" applyBorder="1"/>
    <xf numFmtId="0" fontId="44" fillId="24" borderId="12" xfId="43" applyFont="1" applyFill="1" applyBorder="1"/>
    <xf numFmtId="4" fontId="44" fillId="24" borderId="12" xfId="43" applyNumberFormat="1" applyFont="1" applyFill="1" applyBorder="1"/>
    <xf numFmtId="4" fontId="45" fillId="0" borderId="12" xfId="43" applyNumberFormat="1" applyFont="1" applyFill="1" applyBorder="1"/>
    <xf numFmtId="4" fontId="65" fillId="0" borderId="12" xfId="43" applyNumberFormat="1" applyFont="1" applyFill="1" applyBorder="1"/>
    <xf numFmtId="164" fontId="40" fillId="24" borderId="12" xfId="29" applyFont="1" applyFill="1" applyBorder="1" applyAlignment="1">
      <alignment horizontal="left" vertical="top" wrapText="1" indent="2"/>
    </xf>
    <xf numFmtId="4" fontId="2" fillId="24" borderId="12" xfId="43" applyNumberFormat="1" applyFill="1" applyBorder="1"/>
    <xf numFmtId="4" fontId="63" fillId="0" borderId="12" xfId="43" applyNumberFormat="1" applyFont="1" applyFill="1" applyBorder="1"/>
    <xf numFmtId="4" fontId="36" fillId="0" borderId="12" xfId="43" applyNumberFormat="1" applyFont="1" applyFill="1" applyBorder="1"/>
    <xf numFmtId="4" fontId="62" fillId="0" borderId="12" xfId="43" applyNumberFormat="1" applyFont="1" applyFill="1" applyBorder="1"/>
    <xf numFmtId="0" fontId="44" fillId="25" borderId="12" xfId="43" applyFont="1" applyFill="1" applyBorder="1"/>
    <xf numFmtId="4" fontId="44" fillId="25" borderId="12" xfId="43" applyNumberFormat="1" applyFont="1" applyFill="1" applyBorder="1"/>
    <xf numFmtId="164" fontId="40" fillId="25" borderId="12" xfId="29" applyFont="1" applyFill="1" applyBorder="1" applyAlignment="1">
      <alignment horizontal="left" vertical="top" wrapText="1" indent="2"/>
    </xf>
    <xf numFmtId="4" fontId="2" fillId="25" borderId="12" xfId="43" applyNumberFormat="1" applyFill="1" applyBorder="1"/>
    <xf numFmtId="4" fontId="63" fillId="0" borderId="12" xfId="43" applyNumberFormat="1" applyFont="1" applyFill="1" applyBorder="1" applyAlignment="1">
      <alignment horizontal="right"/>
    </xf>
    <xf numFmtId="4" fontId="36" fillId="0" borderId="12" xfId="43" applyNumberFormat="1" applyFont="1" applyFill="1" applyBorder="1" applyAlignment="1">
      <alignment horizontal="right"/>
    </xf>
    <xf numFmtId="4" fontId="62" fillId="0" borderId="12" xfId="43" applyNumberFormat="1" applyFont="1" applyFill="1" applyBorder="1" applyAlignment="1">
      <alignment horizontal="right"/>
    </xf>
    <xf numFmtId="4" fontId="2" fillId="0" borderId="0" xfId="43" applyNumberFormat="1" applyFont="1" applyAlignment="1">
      <alignment horizontal="right"/>
    </xf>
    <xf numFmtId="0" fontId="44" fillId="15" borderId="12" xfId="43" applyFont="1" applyFill="1" applyBorder="1"/>
    <xf numFmtId="4" fontId="44" fillId="15" borderId="12" xfId="43" applyNumberFormat="1" applyFont="1" applyFill="1" applyBorder="1"/>
    <xf numFmtId="4" fontId="2" fillId="15" borderId="12" xfId="43" applyNumberFormat="1" applyFill="1" applyBorder="1"/>
    <xf numFmtId="0" fontId="44" fillId="26" borderId="12" xfId="43" applyFont="1" applyFill="1" applyBorder="1"/>
    <xf numFmtId="4" fontId="44" fillId="26" borderId="12" xfId="43" applyNumberFormat="1" applyFont="1" applyFill="1" applyBorder="1"/>
    <xf numFmtId="164" fontId="40" fillId="26" borderId="12" xfId="29" applyFont="1" applyFill="1" applyBorder="1" applyAlignment="1">
      <alignment horizontal="left" vertical="top" wrapText="1" indent="2"/>
    </xf>
    <xf numFmtId="4" fontId="2" fillId="26" borderId="12" xfId="43" applyNumberFormat="1" applyFill="1" applyBorder="1"/>
    <xf numFmtId="0" fontId="44" fillId="18" borderId="12" xfId="43" applyFont="1" applyFill="1" applyBorder="1"/>
    <xf numFmtId="4" fontId="44" fillId="18" borderId="12" xfId="43" applyNumberFormat="1" applyFont="1" applyFill="1" applyBorder="1"/>
    <xf numFmtId="4" fontId="44" fillId="0" borderId="12" xfId="43" applyNumberFormat="1" applyFont="1" applyFill="1" applyBorder="1"/>
    <xf numFmtId="164" fontId="40" fillId="18" borderId="12" xfId="29" applyFont="1" applyFill="1" applyBorder="1" applyAlignment="1">
      <alignment horizontal="left" vertical="top" wrapText="1" indent="2"/>
    </xf>
    <xf numFmtId="4" fontId="2" fillId="18" borderId="12" xfId="43" applyNumberFormat="1" applyFill="1" applyBorder="1"/>
    <xf numFmtId="4" fontId="2" fillId="0" borderId="12" xfId="43" applyNumberFormat="1" applyBorder="1"/>
    <xf numFmtId="0" fontId="2" fillId="0" borderId="0" xfId="43" applyFill="1"/>
    <xf numFmtId="0" fontId="36" fillId="0" borderId="0" xfId="43" applyFont="1" applyFill="1"/>
    <xf numFmtId="0" fontId="62" fillId="0" borderId="0" xfId="43" applyFont="1" applyFill="1"/>
    <xf numFmtId="2" fontId="5" fillId="0" borderId="0" xfId="0" applyNumberFormat="1" applyFont="1" applyFill="1"/>
    <xf numFmtId="3" fontId="14" fillId="16" borderId="0" xfId="0" applyNumberFormat="1" applyFont="1" applyFill="1" applyBorder="1"/>
    <xf numFmtId="3" fontId="14" fillId="13" borderId="0" xfId="0" applyNumberFormat="1" applyFont="1" applyFill="1" applyBorder="1"/>
    <xf numFmtId="3" fontId="14" fillId="18" borderId="0" xfId="0" applyNumberFormat="1" applyFont="1" applyFill="1" applyBorder="1"/>
    <xf numFmtId="3" fontId="14" fillId="0" borderId="0" xfId="0" applyNumberFormat="1" applyFont="1" applyBorder="1"/>
    <xf numFmtId="9" fontId="18" fillId="2" borderId="1" xfId="41" applyFont="1" applyFill="1" applyBorder="1" applyAlignment="1">
      <alignment vertical="center"/>
    </xf>
    <xf numFmtId="0" fontId="16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1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6" fillId="0" borderId="12" xfId="43" applyFont="1" applyFill="1" applyBorder="1" applyAlignment="1">
      <alignment horizontal="center" wrapText="1"/>
    </xf>
    <xf numFmtId="0" fontId="1" fillId="0" borderId="12" xfId="43" applyFont="1" applyFill="1" applyBorder="1"/>
    <xf numFmtId="0" fontId="0" fillId="0" borderId="0" xfId="0" applyFont="1"/>
    <xf numFmtId="0" fontId="34" fillId="0" borderId="0" xfId="0" applyFont="1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right" vertical="center"/>
    </xf>
    <xf numFmtId="0" fontId="67" fillId="0" borderId="0" xfId="0" applyFont="1"/>
    <xf numFmtId="0" fontId="5" fillId="0" borderId="0" xfId="0" applyFont="1" applyAlignment="1">
      <alignment horizontal="right" vertical="center"/>
    </xf>
    <xf numFmtId="0" fontId="68" fillId="0" borderId="9" xfId="0" applyFont="1" applyBorder="1" applyAlignment="1">
      <alignment horizontal="center" vertical="center"/>
    </xf>
    <xf numFmtId="0" fontId="68" fillId="0" borderId="9" xfId="0" applyFont="1" applyBorder="1" applyAlignment="1">
      <alignment horizontal="left" vertical="center"/>
    </xf>
    <xf numFmtId="0" fontId="66" fillId="0" borderId="14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center"/>
    </xf>
    <xf numFmtId="0" fontId="70" fillId="0" borderId="2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166" fontId="5" fillId="0" borderId="12" xfId="0" applyNumberFormat="1" applyFont="1" applyBorder="1" applyAlignment="1">
      <alignment horizontal="center" vertical="center"/>
    </xf>
    <xf numFmtId="166" fontId="69" fillId="0" borderId="12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166" fontId="69" fillId="0" borderId="12" xfId="0" applyNumberFormat="1" applyFont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35" fillId="0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9" fillId="3" borderId="12" xfId="0" applyFont="1" applyFill="1" applyBorder="1" applyAlignment="1">
      <alignment horizontal="center" vertical="center"/>
    </xf>
    <xf numFmtId="0" fontId="71" fillId="0" borderId="12" xfId="0" applyFont="1" applyBorder="1" applyAlignment="1">
      <alignment horizontal="left" vertical="center" wrapText="1"/>
    </xf>
    <xf numFmtId="9" fontId="35" fillId="0" borderId="12" xfId="1" applyNumberFormat="1" applyFont="1" applyFill="1" applyBorder="1" applyAlignment="1">
      <alignment horizontal="center" vertical="center"/>
    </xf>
    <xf numFmtId="3" fontId="35" fillId="0" borderId="12" xfId="1" applyNumberFormat="1" applyFont="1" applyFill="1" applyBorder="1" applyAlignment="1">
      <alignment horizontal="center" vertical="center"/>
    </xf>
    <xf numFmtId="3" fontId="35" fillId="0" borderId="12" xfId="0" applyNumberFormat="1" applyFont="1" applyFill="1" applyBorder="1" applyAlignment="1">
      <alignment horizontal="center" vertical="center"/>
    </xf>
    <xf numFmtId="9" fontId="35" fillId="0" borderId="12" xfId="0" applyNumberFormat="1" applyFont="1" applyFill="1" applyBorder="1" applyAlignment="1">
      <alignment horizontal="center" vertical="center"/>
    </xf>
    <xf numFmtId="3" fontId="35" fillId="0" borderId="12" xfId="0" applyNumberFormat="1" applyFont="1" applyFill="1" applyBorder="1" applyAlignment="1">
      <alignment vertical="center"/>
    </xf>
    <xf numFmtId="9" fontId="16" fillId="0" borderId="12" xfId="1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0" fontId="67" fillId="0" borderId="0" xfId="0" applyFont="1" applyFill="1"/>
    <xf numFmtId="0" fontId="0" fillId="0" borderId="0" xfId="0" applyFill="1"/>
    <xf numFmtId="0" fontId="20" fillId="0" borderId="10" xfId="0" applyFont="1" applyFill="1" applyBorder="1" applyAlignment="1">
      <alignment horizontal="center" vertical="center"/>
    </xf>
    <xf numFmtId="166" fontId="0" fillId="0" borderId="0" xfId="0" applyNumberFormat="1" applyFill="1"/>
    <xf numFmtId="3" fontId="20" fillId="0" borderId="10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3" fontId="67" fillId="0" borderId="0" xfId="0" applyNumberFormat="1" applyFont="1" applyFill="1"/>
    <xf numFmtId="3" fontId="0" fillId="0" borderId="0" xfId="0" applyNumberFormat="1" applyFill="1"/>
    <xf numFmtId="0" fontId="16" fillId="0" borderId="14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166" fontId="5" fillId="0" borderId="14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166" fontId="5" fillId="0" borderId="9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3" fontId="16" fillId="0" borderId="12" xfId="1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vertical="center"/>
    </xf>
    <xf numFmtId="0" fontId="67" fillId="0" borderId="14" xfId="0" applyFont="1" applyFill="1" applyBorder="1" applyAlignment="1">
      <alignment horizontal="center" vertical="center"/>
    </xf>
    <xf numFmtId="0" fontId="67" fillId="0" borderId="0" xfId="0" applyFont="1" applyFill="1" applyAlignment="1">
      <alignment horizontal="center" vertical="center"/>
    </xf>
    <xf numFmtId="166" fontId="67" fillId="0" borderId="0" xfId="0" applyNumberFormat="1" applyFont="1" applyFill="1"/>
    <xf numFmtId="0" fontId="73" fillId="0" borderId="0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left" vertical="center"/>
    </xf>
    <xf numFmtId="4" fontId="7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ont="1" applyFill="1"/>
    <xf numFmtId="4" fontId="74" fillId="0" borderId="0" xfId="0" applyNumberFormat="1" applyFont="1" applyFill="1"/>
    <xf numFmtId="0" fontId="34" fillId="0" borderId="0" xfId="0" applyFont="1" applyFill="1" applyAlignment="1">
      <alignment vertical="center"/>
    </xf>
    <xf numFmtId="0" fontId="11" fillId="0" borderId="0" xfId="0" applyFont="1" applyFill="1"/>
    <xf numFmtId="0" fontId="16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67" fillId="0" borderId="0" xfId="0" applyFont="1" applyFill="1" applyAlignment="1">
      <alignment horizontal="left"/>
    </xf>
    <xf numFmtId="166" fontId="38" fillId="0" borderId="0" xfId="0" applyNumberFormat="1" applyFont="1" applyFill="1"/>
    <xf numFmtId="0" fontId="72" fillId="0" borderId="0" xfId="0" applyFont="1" applyFill="1"/>
    <xf numFmtId="9" fontId="75" fillId="0" borderId="12" xfId="1" applyNumberFormat="1" applyFont="1" applyFill="1" applyBorder="1" applyAlignment="1">
      <alignment horizontal="center" vertical="center"/>
    </xf>
    <xf numFmtId="166" fontId="76" fillId="0" borderId="7" xfId="0" applyNumberFormat="1" applyFont="1" applyFill="1" applyBorder="1" applyAlignment="1">
      <alignment horizontal="center" vertical="center"/>
    </xf>
    <xf numFmtId="166" fontId="75" fillId="0" borderId="12" xfId="0" applyNumberFormat="1" applyFont="1" applyFill="1" applyBorder="1" applyAlignment="1">
      <alignment horizontal="center" vertical="center"/>
    </xf>
    <xf numFmtId="3" fontId="75" fillId="0" borderId="12" xfId="0" applyNumberFormat="1" applyFont="1" applyFill="1" applyBorder="1" applyAlignment="1">
      <alignment vertical="center"/>
    </xf>
    <xf numFmtId="4" fontId="75" fillId="0" borderId="12" xfId="0" applyNumberFormat="1" applyFont="1" applyFill="1" applyBorder="1" applyAlignment="1">
      <alignment horizontal="center" vertical="center"/>
    </xf>
    <xf numFmtId="166" fontId="77" fillId="0" borderId="12" xfId="0" applyNumberFormat="1" applyFont="1" applyFill="1" applyBorder="1" applyAlignment="1">
      <alignment horizontal="center" vertical="center"/>
    </xf>
    <xf numFmtId="166" fontId="75" fillId="0" borderId="12" xfId="0" applyNumberFormat="1" applyFont="1" applyFill="1" applyBorder="1" applyAlignment="1">
      <alignment vertical="center"/>
    </xf>
    <xf numFmtId="166" fontId="77" fillId="0" borderId="12" xfId="0" applyNumberFormat="1" applyFont="1" applyFill="1" applyBorder="1" applyAlignment="1">
      <alignment horizontal="center"/>
    </xf>
    <xf numFmtId="9" fontId="75" fillId="0" borderId="1" xfId="0" applyNumberFormat="1" applyFont="1" applyFill="1" applyBorder="1" applyAlignment="1">
      <alignment horizontal="center" vertical="center"/>
    </xf>
    <xf numFmtId="0" fontId="78" fillId="0" borderId="2" xfId="0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vertical="center" wrapText="1"/>
    </xf>
    <xf numFmtId="3" fontId="75" fillId="0" borderId="12" xfId="0" applyNumberFormat="1" applyFont="1" applyFill="1" applyBorder="1" applyAlignment="1">
      <alignment horizontal="center" vertical="center"/>
    </xf>
    <xf numFmtId="3" fontId="75" fillId="0" borderId="12" xfId="1" applyNumberFormat="1" applyFont="1" applyFill="1" applyBorder="1" applyAlignment="1">
      <alignment horizontal="center" vertical="center"/>
    </xf>
    <xf numFmtId="49" fontId="66" fillId="0" borderId="12" xfId="0" applyNumberFormat="1" applyFont="1" applyFill="1" applyBorder="1" applyAlignment="1">
      <alignment horizontal="center" vertical="center" wrapText="1"/>
    </xf>
    <xf numFmtId="0" fontId="75" fillId="0" borderId="12" xfId="0" applyFont="1" applyFill="1" applyBorder="1" applyAlignment="1">
      <alignment horizontal="left" vertical="center" wrapText="1"/>
    </xf>
    <xf numFmtId="14" fontId="66" fillId="0" borderId="12" xfId="0" applyNumberFormat="1" applyFont="1" applyFill="1" applyBorder="1" applyAlignment="1">
      <alignment horizontal="center" vertical="center"/>
    </xf>
    <xf numFmtId="49" fontId="66" fillId="0" borderId="2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51" fillId="0" borderId="2" xfId="0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left" vertical="center" wrapText="1"/>
    </xf>
    <xf numFmtId="0" fontId="51" fillId="0" borderId="10" xfId="0" applyFont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1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7" xfId="43" applyBorder="1" applyAlignment="1">
      <alignment horizontal="center"/>
    </xf>
    <xf numFmtId="0" fontId="2" fillId="0" borderId="9" xfId="43" applyBorder="1" applyAlignment="1">
      <alignment horizontal="center"/>
    </xf>
    <xf numFmtId="0" fontId="2" fillId="0" borderId="8" xfId="43" applyBorder="1" applyAlignment="1">
      <alignment horizontal="center"/>
    </xf>
    <xf numFmtId="0" fontId="2" fillId="0" borderId="12" xfId="43" applyBorder="1" applyAlignment="1">
      <alignment horizontal="center"/>
    </xf>
    <xf numFmtId="9" fontId="11" fillId="0" borderId="12" xfId="1" applyNumberFormat="1" applyFont="1" applyFill="1" applyBorder="1" applyAlignment="1">
      <alignment horizontal="center" vertical="center"/>
    </xf>
    <xf numFmtId="3" fontId="11" fillId="0" borderId="12" xfId="0" applyNumberFormat="1" applyFont="1" applyFill="1" applyBorder="1" applyAlignment="1">
      <alignment vertical="center"/>
    </xf>
    <xf numFmtId="4" fontId="11" fillId="0" borderId="12" xfId="0" applyNumberFormat="1" applyFont="1" applyFill="1" applyBorder="1" applyAlignment="1">
      <alignment horizontal="center" vertical="center"/>
    </xf>
    <xf numFmtId="166" fontId="11" fillId="0" borderId="12" xfId="0" applyNumberFormat="1" applyFont="1" applyFill="1" applyBorder="1" applyAlignment="1">
      <alignment vertical="center"/>
    </xf>
    <xf numFmtId="166" fontId="11" fillId="0" borderId="12" xfId="0" applyNumberFormat="1" applyFont="1" applyFill="1" applyBorder="1" applyAlignment="1">
      <alignment horizontal="center" vertical="center"/>
    </xf>
    <xf numFmtId="4" fontId="80" fillId="0" borderId="0" xfId="0" applyNumberFormat="1" applyFont="1" applyFill="1" applyBorder="1" applyAlignment="1">
      <alignment horizontal="center" vertical="center"/>
    </xf>
    <xf numFmtId="4" fontId="44" fillId="0" borderId="0" xfId="0" applyNumberFormat="1" applyFont="1" applyFill="1"/>
    <xf numFmtId="166" fontId="0" fillId="0" borderId="0" xfId="0" applyNumberFormat="1" applyFont="1" applyFill="1"/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71" fillId="0" borderId="2" xfId="0" applyFont="1" applyBorder="1" applyAlignment="1">
      <alignment horizontal="left" vertical="center" wrapText="1"/>
    </xf>
    <xf numFmtId="0" fontId="81" fillId="0" borderId="2" xfId="0" applyFont="1" applyFill="1" applyBorder="1" applyAlignment="1">
      <alignment horizontal="left" vertical="center" wrapText="1"/>
    </xf>
    <xf numFmtId="0" fontId="81" fillId="0" borderId="10" xfId="0" applyFont="1" applyFill="1" applyBorder="1" applyAlignment="1">
      <alignment horizontal="left" vertical="center" wrapText="1"/>
    </xf>
    <xf numFmtId="0" fontId="81" fillId="0" borderId="2" xfId="0" applyFont="1" applyFill="1" applyBorder="1" applyAlignment="1">
      <alignment horizontal="left" vertical="center" wrapText="1"/>
    </xf>
    <xf numFmtId="0" fontId="81" fillId="0" borderId="10" xfId="0" applyFont="1" applyFill="1" applyBorder="1" applyAlignment="1">
      <alignment horizontal="left" vertical="center" wrapText="1"/>
    </xf>
    <xf numFmtId="0" fontId="81" fillId="0" borderId="12" xfId="0" applyFont="1" applyFill="1" applyBorder="1" applyAlignment="1">
      <alignment horizontal="left" vertical="center" wrapText="1"/>
    </xf>
    <xf numFmtId="0" fontId="81" fillId="0" borderId="14" xfId="0" applyFont="1" applyFill="1" applyBorder="1" applyAlignment="1">
      <alignment horizontal="left" vertical="center" wrapText="1"/>
    </xf>
    <xf numFmtId="0" fontId="81" fillId="0" borderId="3" xfId="0" applyFont="1" applyFill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71" fillId="0" borderId="2" xfId="0" applyFont="1" applyBorder="1" applyAlignment="1">
      <alignment horizontal="left" vertical="center" wrapText="1"/>
    </xf>
    <xf numFmtId="0" fontId="71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71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>
      <alignment horizontal="center" vertical="center" wrapText="1"/>
    </xf>
    <xf numFmtId="49" fontId="70" fillId="0" borderId="10" xfId="0" applyNumberFormat="1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49" fontId="70" fillId="0" borderId="2" xfId="0" applyNumberFormat="1" applyFont="1" applyBorder="1" applyAlignment="1">
      <alignment horizontal="center" vertical="center" wrapText="1"/>
    </xf>
    <xf numFmtId="14" fontId="20" fillId="0" borderId="6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14" fontId="54" fillId="0" borderId="2" xfId="0" applyNumberFormat="1" applyFont="1" applyBorder="1" applyAlignment="1">
      <alignment horizontal="center" vertical="center"/>
    </xf>
    <xf numFmtId="14" fontId="54" fillId="0" borderId="6" xfId="0" applyNumberFormat="1" applyFont="1" applyBorder="1" applyAlignment="1">
      <alignment horizontal="center" vertical="center"/>
    </xf>
    <xf numFmtId="0" fontId="79" fillId="0" borderId="10" xfId="0" applyFont="1" applyBorder="1" applyAlignment="1">
      <alignment horizontal="center" vertical="center"/>
    </xf>
    <xf numFmtId="10" fontId="35" fillId="0" borderId="12" xfId="0" applyNumberFormat="1" applyFont="1" applyFill="1" applyBorder="1" applyAlignment="1">
      <alignment horizontal="center" vertical="center"/>
    </xf>
    <xf numFmtId="9" fontId="11" fillId="0" borderId="12" xfId="0" applyNumberFormat="1" applyFont="1" applyFill="1" applyBorder="1" applyAlignment="1">
      <alignment horizontal="center" vertical="center"/>
    </xf>
  </cellXfs>
  <cellStyles count="44">
    <cellStyle name="Calculated Column - IBM Cognos" xfId="3"/>
    <cellStyle name="Calculated Column Name - IBM Cognos" xfId="4"/>
    <cellStyle name="Calculated Row - IBM Cognos" xfId="5"/>
    <cellStyle name="Calculated Row Name - IBM Cognos" xfId="6"/>
    <cellStyle name="Column Name - IBM Cognos" xfId="7"/>
    <cellStyle name="Column Template - IBM Cognos" xfId="8"/>
    <cellStyle name="Differs From Base - IBM Cognos" xfId="9"/>
    <cellStyle name="Group Name - IBM Cognos" xfId="10"/>
    <cellStyle name="Hold Values - IBM Cognos" xfId="11"/>
    <cellStyle name="List Name - IBM Cognos" xfId="12"/>
    <cellStyle name="Locked - IBM Cognos" xfId="13"/>
    <cellStyle name="Measure - IBM Cognos" xfId="14"/>
    <cellStyle name="Measure Header - IBM Cognos" xfId="15"/>
    <cellStyle name="Measure Name - IBM Cognos" xfId="16"/>
    <cellStyle name="Measure Summary - IBM Cognos" xfId="17"/>
    <cellStyle name="Measure Summary TM1 - IBM Cognos" xfId="18"/>
    <cellStyle name="Measure Template - IBM Cognos" xfId="19"/>
    <cellStyle name="More - IBM Cognos" xfId="20"/>
    <cellStyle name="Pending Change - IBM Cognos" xfId="21"/>
    <cellStyle name="Row Name - IBM Cognos" xfId="22"/>
    <cellStyle name="Row Template - IBM Cognos" xfId="23"/>
    <cellStyle name="Summary Column Name - IBM Cognos" xfId="24"/>
    <cellStyle name="Summary Column Name TM1 - IBM Cognos" xfId="25"/>
    <cellStyle name="Summary Row Name - IBM Cognos" xfId="26"/>
    <cellStyle name="Summary Row Name TM1 - IBM Cognos" xfId="27"/>
    <cellStyle name="Unsaved Change - IBM Cognos" xfId="28"/>
    <cellStyle name="Денежный 2" xfId="42"/>
    <cellStyle name="Обычный" xfId="0" builtinId="0"/>
    <cellStyle name="Обычный 11" xfId="29"/>
    <cellStyle name="Обычный 11 184 2" xfId="30"/>
    <cellStyle name="Обычный 2" xfId="31"/>
    <cellStyle name="Обычный 2 2" xfId="32"/>
    <cellStyle name="Обычный 2 2 2" xfId="33"/>
    <cellStyle name="Обычный 2 2 2 2" xfId="34"/>
    <cellStyle name="Обычный 2 2 3" xfId="35"/>
    <cellStyle name="Обычный 2 3" xfId="36"/>
    <cellStyle name="Обычный 2 3 2" xfId="37"/>
    <cellStyle name="Обычный 2 4" xfId="38"/>
    <cellStyle name="Обычный 2 5" xfId="39"/>
    <cellStyle name="Обычный 3" xfId="40"/>
    <cellStyle name="Обычный 4" xfId="43"/>
    <cellStyle name="Обычный 7" xfId="2"/>
    <cellStyle name="Процентный" xfId="1" builtinId="5"/>
    <cellStyle name="Процентный 2" xfId="41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k-s-app1c01\FILES\Users\kozminana\Desktop\&#1053;&#1086;&#1074;&#1072;&#1103;%20&#1087;&#1072;&#1087;&#1082;&#1072;\&#1040;&#1057;&#1041;%202019\&#1041;&#1102;&#1076;&#1078;&#1077;&#1090;%202019%20&#1087;&#1083;&#1072;&#1085;\&#1041;&#1102;&#1076;&#1078;&#1077;&#1090;%202020_&#1092;&#1072;&#1082;&#1090;\&#1041;&#1102;&#1076;&#1078;&#1077;&#1090;_&#1076;&#1077;&#1082;&#1072;&#1073;&#1088;&#1100;\&#1043;&#1088;&#1072;&#1092;&#1080;&#1082;%20&#1092;&#1080;&#1085;&#1072;&#1085;&#1089;&#1080;&#1088;&#1086;&#1074;&#1072;&#1085;&#1080;&#1103;%20&#1080;%20&#1087;&#1088;&#1086;&#1080;&#1079;&#1074;&#1086;&#1076;&#1089;&#1090;&#1074;&#1072;%20&#1088;&#1072;&#1073;&#1086;&#1090;\&#1043;&#1088;&#1072;&#1092;&#1080;&#1082;%20&#1092;&#1080;&#1085;&#1072;&#1085;&#1089;&#1080;&#1088;&#1086;&#1074;&#1072;&#1085;&#1080;&#1103;%20&#1080;%20&#1087;&#1088;&#1086;&#1080;&#1079;&#1074;&#1086;&#1076;&#1089;&#1090;&#1074;&#1072;%20&#1088;&#1072;&#1073;&#1086;&#1090;_2020%20&#1076;&#1077;&#1082;&#1072;&#1073;&#1088;&#1100;%20&#1092;&#1072;&#1082;&#1090;+2021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k-s-app1c01\FILES\&#1042;&#1080;&#1090;&#1080;&#1084;&#1069;&#1085;&#1077;&#1088;&#1075;&#1086;&#1057;&#1090;&#1088;&#1086;&#1081;\&#1060;&#1080;&#1085;&#1072;&#1085;&#1089;&#1086;&#1074;&#1086;_&#1101;&#1082;&#1086;&#1085;&#1086;&#1084;&#1080;&#1095;&#1077;&#1089;&#1082;&#1072;&#1103;%20&#1089;&#1083;&#1091;&#1078;&#1073;&#1072;\1_&#1041;&#1102;&#1076;&#1078;&#1077;&#1090;\2021\2&#1080;&#1090;&#1077;&#1088;&#1072;&#1094;&#1080;&#1103;\&#1043;&#1088;&#1072;&#1092;&#1080;&#1082;%20&#1092;&#1080;&#1085;&#1072;&#1085;&#1089;&#1080;&#1088;&#1086;&#1074;&#1072;&#1085;&#1080;&#1103;%20&#1080;%20&#1087;&#1088;&#1086;&#1080;&#1079;&#1074;&#1086;&#1076;&#1089;&#1090;&#1074;&#1072;%20&#1088;&#1072;&#1073;&#1086;&#1090;_2020%20&#1089;&#1077;&#1085;&#1090;&#1103;&#1073;&#1088;&#1100;%20&#1092;&#1072;&#1082;&#1090;+2021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k-s-app1c01\FILES\Users\kozminana\Desktop\&#1053;&#1086;&#1074;&#1072;&#1103;%20&#1087;&#1072;&#1087;&#1082;&#1072;\&#1040;&#1057;&#1041;%202019\&#1041;&#1102;&#1076;&#1078;&#1077;&#1090;%202019%20&#1087;&#1083;&#1072;&#1085;\&#1041;&#1102;&#1076;&#1078;&#1077;&#1090;%202021_&#1087;&#1083;&#1072;&#1085;\&#1055;&#1083;&#1072;&#1085;%202021%20&#1075;&#1088;&#1072;&#1092;&#1080;&#1082;%20&#1089;&#1084;&#1088;\&#1043;&#1088;&#1072;&#1092;&#1080;&#1082;%20&#1092;&#1080;&#1085;&#1072;&#1085;&#1089;&#1080;&#1088;&#1086;&#1074;&#1072;&#1085;&#1080;&#1103;%20&#1080;%20&#1087;&#1088;&#1086;&#1080;&#1079;&#1074;&#1086;&#1076;&#1089;&#1090;&#1074;&#1072;%20&#1088;&#1072;&#1073;&#1086;&#1090;_2020%20&#1080;&#1102;&#1083;&#1100;%20&#1092;&#1072;&#1082;&#1090;+2021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работ_факт декаб+2021"/>
      <sheetName val="Сух Лог_ВЭ_декаб"/>
      <sheetName val="Сух Лог _суб_декаб"/>
      <sheetName val="Сух Лог_ВЭ_ноябрь"/>
      <sheetName val="Сух Лог_суб_ноябрь"/>
      <sheetName val="Сух Лог_ВЭ_окт"/>
      <sheetName val="Сух Лог_суб_окт"/>
      <sheetName val="Сух Лог_Суб_сент"/>
      <sheetName val="Сух Лог_ВЭ_сент"/>
      <sheetName val="Сух Лог_Суб_август"/>
      <sheetName val="Сух Лог_ВЭ_август"/>
      <sheetName val="Сух Лог_Суб_ож июнь"/>
      <sheetName val="Сух Лог_ВЭ_ож_июнь"/>
      <sheetName val="Сух Лог_Суб_ож_май"/>
      <sheetName val="Сух Лог_ВЭ_ож_май"/>
      <sheetName val="Сух Лог_ВЭ_ож _апр"/>
      <sheetName val="Сух Лог_Суб_ож_апр"/>
      <sheetName val="Сух Лог_Суб_ож_март"/>
      <sheetName val="Сух Лог _ВЭ _ож март"/>
      <sheetName val="Сух Лог_ВЭ_ожид"/>
      <sheetName val="Сух Лог_ВЭ"/>
      <sheetName val="Сух Лог_Суб_ожид"/>
      <sheetName val="Сух Лог_Суб"/>
      <sheetName val="Распределение стоимости ТМ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1">
          <cell r="I111">
            <v>119546363.60934751</v>
          </cell>
        </row>
        <row r="115">
          <cell r="I115">
            <v>6267259.0889999997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работ_факт сентябрь+2021"/>
      <sheetName val="Сух Лог_Суб_сент"/>
      <sheetName val="Сух Лог_ВЭ_сент"/>
      <sheetName val="Сух Лог_Суб_август"/>
      <sheetName val="Сух Лог_ВЭ_август"/>
      <sheetName val="Сух Лог_Суб_ож июнь"/>
      <sheetName val="Сух Лог_ВЭ_ож_июнь"/>
      <sheetName val="Сух Лог_Суб_ож_май"/>
      <sheetName val="Сух Лог_ВЭ_ож_май"/>
      <sheetName val="Сух Лог_ВЭ_ож _апр"/>
      <sheetName val="Сух Лог_Суб_ож_апр"/>
      <sheetName val="Сух Лог_Суб_ож_март"/>
      <sheetName val="Сух Лог _ВЭ _ож март"/>
      <sheetName val="Сух Лог_ВЭ_ожид"/>
      <sheetName val="Сух Лог_ВЭ"/>
      <sheetName val="Сух Лог_Суб_ожид"/>
      <sheetName val="Сух Лог_Суб"/>
      <sheetName val="Распределение стоимости ТМЦ"/>
    </sheetNames>
    <sheetDataSet>
      <sheetData sheetId="0"/>
      <sheetData sheetId="1"/>
      <sheetData sheetId="2"/>
      <sheetData sheetId="3"/>
      <sheetData sheetId="4">
        <row r="111">
          <cell r="I111">
            <v>119546363.60934751</v>
          </cell>
        </row>
        <row r="115">
          <cell r="I115">
            <v>6267259.0889999997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работ_факт июль+2021"/>
      <sheetName val="Сух Лог_Суб_август"/>
      <sheetName val="Сух Лог_ВЭ_август"/>
      <sheetName val="Сух Лог_Суб_ож июнь"/>
      <sheetName val="Сух Лог_ВЭ_ож_июнь"/>
      <sheetName val="Сух Лог_Суб_ож_май"/>
      <sheetName val="Сух Лог_ВЭ_ож_май"/>
      <sheetName val="Сух Лог_ВЭ_ож _апр"/>
      <sheetName val="Сух Лог_Суб_ож_апр"/>
      <sheetName val="Сух Лог_Суб_ож_март"/>
      <sheetName val="Сух Лог _ВЭ _ож март"/>
      <sheetName val="Сух Лог_ВЭ_ожид"/>
      <sheetName val="Сух Лог_ВЭ"/>
      <sheetName val="Сух Лог_Суб_ожид"/>
      <sheetName val="Сух Лог_Суб"/>
      <sheetName val="Распределение стоимости ТМЦ"/>
    </sheetNames>
    <sheetDataSet>
      <sheetData sheetId="0" refreshError="1"/>
      <sheetData sheetId="1" refreshError="1"/>
      <sheetData sheetId="2" refreshError="1">
        <row r="18">
          <cell r="V18">
            <v>101642.91880490999</v>
          </cell>
        </row>
        <row r="26">
          <cell r="Q26">
            <v>0</v>
          </cell>
          <cell r="R26">
            <v>937.35536999999999</v>
          </cell>
          <cell r="S26"/>
          <cell r="T26"/>
          <cell r="U26"/>
          <cell r="V26"/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O183"/>
  <sheetViews>
    <sheetView tabSelected="1" view="pageBreakPreview" topLeftCell="A4" zoomScale="40" zoomScaleNormal="60" zoomScaleSheetLayoutView="40" workbookViewId="0">
      <pane xSplit="4" ySplit="6" topLeftCell="N10" activePane="bottomRight" state="frozen"/>
      <selection activeCell="A4" sqref="A4"/>
      <selection pane="topRight" activeCell="E4" sqref="E4"/>
      <selection pane="bottomLeft" activeCell="A10" sqref="A10"/>
      <selection pane="bottomRight" activeCell="AL116" sqref="AL116"/>
    </sheetView>
  </sheetViews>
  <sheetFormatPr defaultRowHeight="15" outlineLevelRow="1" x14ac:dyDescent="0.25"/>
  <cols>
    <col min="1" max="1" width="5.7109375" customWidth="1"/>
    <col min="2" max="2" width="62.28515625" style="425" customWidth="1"/>
    <col min="3" max="3" width="17.7109375" customWidth="1"/>
    <col min="4" max="4" width="17.42578125" hidden="1" customWidth="1"/>
    <col min="5" max="9" width="12.7109375" customWidth="1"/>
    <col min="10" max="10" width="12.7109375" style="423" customWidth="1"/>
    <col min="11" max="21" width="12.7109375" customWidth="1"/>
    <col min="22" max="36" width="12.7109375" style="487" customWidth="1"/>
    <col min="37" max="37" width="19.7109375" customWidth="1"/>
    <col min="38" max="38" width="22.85546875" style="428" customWidth="1"/>
    <col min="39" max="39" width="11.140625" style="428" customWidth="1"/>
    <col min="40" max="40" width="14.7109375" customWidth="1"/>
    <col min="41" max="41" width="9.140625" customWidth="1"/>
  </cols>
  <sheetData>
    <row r="1" spans="1:40" ht="15.75" hidden="1" x14ac:dyDescent="0.25">
      <c r="I1" s="426"/>
      <c r="J1" s="427"/>
      <c r="AK1" s="426"/>
    </row>
    <row r="2" spans="1:40" ht="15.75" hidden="1" x14ac:dyDescent="0.25">
      <c r="D2" s="202"/>
      <c r="I2" s="426"/>
      <c r="J2" s="429"/>
      <c r="AK2" s="426"/>
    </row>
    <row r="3" spans="1:40" ht="18.75" hidden="1" x14ac:dyDescent="0.25">
      <c r="B3" s="424"/>
      <c r="C3" s="424"/>
      <c r="D3" s="424"/>
      <c r="E3" s="424"/>
      <c r="F3" s="424"/>
      <c r="G3" s="424"/>
      <c r="H3" s="424"/>
      <c r="I3" s="424"/>
      <c r="AK3" s="446"/>
    </row>
    <row r="4" spans="1:40" ht="18.75" x14ac:dyDescent="0.25">
      <c r="A4" s="523" t="s">
        <v>302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  <c r="L4" s="523"/>
      <c r="M4" s="523"/>
      <c r="N4" s="523"/>
      <c r="O4" s="523"/>
      <c r="P4" s="523"/>
      <c r="Q4" s="523"/>
      <c r="R4" s="523"/>
      <c r="S4" s="523"/>
      <c r="T4" s="523"/>
      <c r="U4" s="523"/>
      <c r="V4" s="523"/>
      <c r="W4" s="523"/>
      <c r="X4" s="523"/>
      <c r="Y4" s="523"/>
      <c r="Z4" s="523"/>
      <c r="AA4" s="523"/>
      <c r="AB4" s="523"/>
      <c r="AC4" s="523"/>
      <c r="AD4" s="523"/>
      <c r="AE4" s="523"/>
      <c r="AF4" s="523"/>
      <c r="AG4" s="523"/>
      <c r="AH4" s="523"/>
      <c r="AI4" s="523"/>
      <c r="AJ4" s="523"/>
      <c r="AK4" s="523"/>
    </row>
    <row r="5" spans="1:40" ht="16.5" x14ac:dyDescent="0.25">
      <c r="A5" s="430"/>
      <c r="B5" s="431"/>
      <c r="C5" s="430"/>
      <c r="D5" s="430"/>
      <c r="E5" s="430"/>
      <c r="F5" s="430"/>
      <c r="G5" s="430"/>
      <c r="H5" s="430"/>
      <c r="I5" s="430"/>
    </row>
    <row r="6" spans="1:40" ht="24" customHeight="1" x14ac:dyDescent="0.25">
      <c r="A6" s="524" t="s">
        <v>11</v>
      </c>
      <c r="B6" s="524" t="s">
        <v>209</v>
      </c>
      <c r="C6" s="527" t="s">
        <v>203</v>
      </c>
      <c r="D6" s="527" t="s">
        <v>210</v>
      </c>
      <c r="E6" s="530" t="s">
        <v>222</v>
      </c>
      <c r="F6" s="530"/>
      <c r="G6" s="530"/>
      <c r="H6" s="530"/>
      <c r="I6" s="530"/>
      <c r="J6" s="530"/>
      <c r="K6" s="530"/>
      <c r="L6" s="530"/>
      <c r="M6" s="572" t="s">
        <v>223</v>
      </c>
      <c r="N6" s="573"/>
      <c r="O6" s="573"/>
      <c r="P6" s="573"/>
      <c r="Q6" s="573"/>
      <c r="R6" s="573"/>
      <c r="S6" s="573"/>
      <c r="T6" s="573"/>
      <c r="U6" s="573"/>
      <c r="V6" s="573"/>
      <c r="W6" s="573"/>
      <c r="X6" s="574"/>
      <c r="Y6" s="572">
        <v>2023</v>
      </c>
      <c r="Z6" s="573"/>
      <c r="AA6" s="573"/>
      <c r="AB6" s="573"/>
      <c r="AC6" s="573"/>
      <c r="AD6" s="573"/>
      <c r="AE6" s="573"/>
      <c r="AF6" s="573"/>
      <c r="AG6" s="573"/>
      <c r="AH6" s="573"/>
      <c r="AI6" s="573"/>
      <c r="AJ6" s="574"/>
      <c r="AK6" s="531" t="s">
        <v>224</v>
      </c>
    </row>
    <row r="7" spans="1:40" ht="21" customHeight="1" x14ac:dyDescent="0.25">
      <c r="A7" s="525"/>
      <c r="B7" s="525"/>
      <c r="C7" s="528"/>
      <c r="D7" s="528"/>
      <c r="E7" s="530"/>
      <c r="F7" s="530"/>
      <c r="G7" s="530"/>
      <c r="H7" s="530"/>
      <c r="I7" s="530"/>
      <c r="J7" s="530"/>
      <c r="K7" s="530"/>
      <c r="L7" s="530"/>
      <c r="M7" s="575"/>
      <c r="N7" s="576"/>
      <c r="O7" s="576"/>
      <c r="P7" s="576"/>
      <c r="Q7" s="576"/>
      <c r="R7" s="576"/>
      <c r="S7" s="576"/>
      <c r="T7" s="576"/>
      <c r="U7" s="576"/>
      <c r="V7" s="576"/>
      <c r="W7" s="576"/>
      <c r="X7" s="577"/>
      <c r="Y7" s="575"/>
      <c r="Z7" s="576"/>
      <c r="AA7" s="576"/>
      <c r="AB7" s="576"/>
      <c r="AC7" s="576"/>
      <c r="AD7" s="576"/>
      <c r="AE7" s="576"/>
      <c r="AF7" s="576"/>
      <c r="AG7" s="576"/>
      <c r="AH7" s="576"/>
      <c r="AI7" s="576"/>
      <c r="AJ7" s="577"/>
      <c r="AK7" s="531"/>
    </row>
    <row r="8" spans="1:40" ht="21.75" customHeight="1" x14ac:dyDescent="0.25">
      <c r="A8" s="526"/>
      <c r="B8" s="526"/>
      <c r="C8" s="529"/>
      <c r="D8" s="529"/>
      <c r="E8" s="457" t="s">
        <v>116</v>
      </c>
      <c r="F8" s="459" t="s">
        <v>117</v>
      </c>
      <c r="G8" s="459" t="s">
        <v>118</v>
      </c>
      <c r="H8" s="459" t="s">
        <v>119</v>
      </c>
      <c r="I8" s="458" t="s">
        <v>120</v>
      </c>
      <c r="J8" s="460" t="s">
        <v>121</v>
      </c>
      <c r="K8" s="458" t="s">
        <v>122</v>
      </c>
      <c r="L8" s="459" t="s">
        <v>123</v>
      </c>
      <c r="M8" s="447" t="s">
        <v>112</v>
      </c>
      <c r="N8" s="459" t="s">
        <v>113</v>
      </c>
      <c r="O8" s="458" t="s">
        <v>114</v>
      </c>
      <c r="P8" s="459" t="s">
        <v>115</v>
      </c>
      <c r="Q8" s="459" t="s">
        <v>116</v>
      </c>
      <c r="R8" s="459" t="s">
        <v>117</v>
      </c>
      <c r="S8" s="459" t="s">
        <v>118</v>
      </c>
      <c r="T8" s="459" t="s">
        <v>119</v>
      </c>
      <c r="U8" s="459" t="s">
        <v>120</v>
      </c>
      <c r="V8" s="67" t="s">
        <v>121</v>
      </c>
      <c r="W8" s="67" t="s">
        <v>122</v>
      </c>
      <c r="X8" s="67" t="s">
        <v>303</v>
      </c>
      <c r="Y8" s="447" t="s">
        <v>112</v>
      </c>
      <c r="Z8" s="520" t="s">
        <v>113</v>
      </c>
      <c r="AA8" s="519" t="s">
        <v>114</v>
      </c>
      <c r="AB8" s="520" t="s">
        <v>115</v>
      </c>
      <c r="AC8" s="520" t="s">
        <v>116</v>
      </c>
      <c r="AD8" s="520" t="s">
        <v>117</v>
      </c>
      <c r="AE8" s="520" t="s">
        <v>118</v>
      </c>
      <c r="AF8" s="520" t="s">
        <v>119</v>
      </c>
      <c r="AG8" s="520" t="s">
        <v>120</v>
      </c>
      <c r="AH8" s="67" t="s">
        <v>121</v>
      </c>
      <c r="AI8" s="67" t="s">
        <v>122</v>
      </c>
      <c r="AJ8" s="67" t="s">
        <v>303</v>
      </c>
      <c r="AK8" s="531"/>
      <c r="AL8" s="432" t="s">
        <v>211</v>
      </c>
    </row>
    <row r="9" spans="1:40" ht="15.75" x14ac:dyDescent="0.25">
      <c r="A9" s="456">
        <v>1</v>
      </c>
      <c r="B9" s="456">
        <v>2</v>
      </c>
      <c r="C9" s="457">
        <v>3</v>
      </c>
      <c r="D9" s="457">
        <v>4</v>
      </c>
      <c r="E9" s="457">
        <v>5</v>
      </c>
      <c r="F9" s="457">
        <v>6</v>
      </c>
      <c r="G9" s="457">
        <v>7</v>
      </c>
      <c r="H9" s="457">
        <v>8</v>
      </c>
      <c r="I9" s="457">
        <v>9</v>
      </c>
      <c r="J9" s="457">
        <v>10</v>
      </c>
      <c r="K9" s="457">
        <v>11</v>
      </c>
      <c r="L9" s="457">
        <v>12</v>
      </c>
      <c r="M9" s="438">
        <v>13</v>
      </c>
      <c r="N9" s="457">
        <v>14</v>
      </c>
      <c r="O9" s="457">
        <v>15</v>
      </c>
      <c r="P9" s="457">
        <v>16</v>
      </c>
      <c r="Q9" s="457">
        <v>17</v>
      </c>
      <c r="R9" s="457">
        <v>18</v>
      </c>
      <c r="S9" s="457">
        <v>19</v>
      </c>
      <c r="T9" s="457">
        <v>20</v>
      </c>
      <c r="U9" s="457">
        <v>21</v>
      </c>
      <c r="V9" s="518">
        <v>22</v>
      </c>
      <c r="W9" s="518">
        <v>23</v>
      </c>
      <c r="X9" s="518">
        <v>24</v>
      </c>
      <c r="Y9" s="438">
        <v>25</v>
      </c>
      <c r="Z9" s="457">
        <v>26</v>
      </c>
      <c r="AA9" s="457">
        <v>27</v>
      </c>
      <c r="AB9" s="457">
        <v>28</v>
      </c>
      <c r="AC9" s="457">
        <v>29</v>
      </c>
      <c r="AD9" s="457">
        <v>30</v>
      </c>
      <c r="AE9" s="457">
        <v>31</v>
      </c>
      <c r="AF9" s="457">
        <v>32</v>
      </c>
      <c r="AG9" s="457">
        <v>33</v>
      </c>
      <c r="AH9" s="518">
        <v>34</v>
      </c>
      <c r="AI9" s="518">
        <v>35</v>
      </c>
      <c r="AJ9" s="518">
        <v>36</v>
      </c>
      <c r="AK9" s="457">
        <v>22</v>
      </c>
      <c r="AL9" s="433"/>
    </row>
    <row r="10" spans="1:40" ht="19.5" customHeight="1" x14ac:dyDescent="0.25">
      <c r="A10" s="434">
        <v>1</v>
      </c>
      <c r="B10" s="448" t="s">
        <v>225</v>
      </c>
      <c r="C10" s="439"/>
      <c r="D10" s="436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74"/>
      <c r="W10" s="474"/>
      <c r="X10" s="474"/>
      <c r="Y10" s="474"/>
      <c r="Z10" s="474"/>
      <c r="AA10" s="474"/>
      <c r="AB10" s="474"/>
      <c r="AC10" s="474"/>
      <c r="AD10" s="474"/>
      <c r="AE10" s="474"/>
      <c r="AF10" s="474"/>
      <c r="AG10" s="474"/>
      <c r="AH10" s="474"/>
      <c r="AI10" s="474"/>
      <c r="AJ10" s="474"/>
      <c r="AK10" s="440"/>
    </row>
    <row r="11" spans="1:40" s="463" customFormat="1" ht="59.25" customHeight="1" outlineLevel="1" x14ac:dyDescent="0.25">
      <c r="A11" s="79" t="s">
        <v>204</v>
      </c>
      <c r="B11" s="579" t="s">
        <v>307</v>
      </c>
      <c r="C11" s="439" t="s">
        <v>311</v>
      </c>
      <c r="D11" s="461" t="s">
        <v>36</v>
      </c>
      <c r="E11" s="449"/>
      <c r="F11" s="449"/>
      <c r="G11" s="449"/>
      <c r="H11" s="449"/>
      <c r="I11" s="449"/>
      <c r="J11" s="449"/>
      <c r="K11" s="449"/>
      <c r="R11" s="449"/>
      <c r="S11" s="449"/>
      <c r="T11" s="449"/>
      <c r="U11" s="449"/>
      <c r="V11" s="564"/>
      <c r="W11" s="564"/>
      <c r="X11" s="564"/>
      <c r="Y11" s="564"/>
      <c r="Z11" s="564"/>
      <c r="AA11" s="564"/>
      <c r="AB11" s="564"/>
      <c r="AC11" s="564"/>
      <c r="AD11" s="564"/>
      <c r="AE11" s="564"/>
      <c r="AF11" s="564"/>
      <c r="AG11" s="564"/>
      <c r="AH11" s="564"/>
      <c r="AI11" s="564"/>
      <c r="AJ11" s="564"/>
      <c r="AK11" s="437"/>
      <c r="AL11" s="462"/>
      <c r="AM11" s="462"/>
    </row>
    <row r="12" spans="1:40" s="463" customFormat="1" ht="19.5" customHeight="1" outlineLevel="1" x14ac:dyDescent="0.25">
      <c r="A12" s="79"/>
      <c r="B12" s="145"/>
      <c r="C12" s="464">
        <v>2021</v>
      </c>
      <c r="D12" s="461"/>
      <c r="E12" s="450"/>
      <c r="F12" s="450"/>
      <c r="G12" s="451"/>
      <c r="H12" s="451"/>
      <c r="I12" s="451"/>
      <c r="J12" s="451"/>
      <c r="K12" s="451"/>
      <c r="L12" s="453"/>
      <c r="M12" s="453"/>
      <c r="N12" s="453"/>
      <c r="O12" s="453"/>
      <c r="P12" s="453"/>
      <c r="Q12" s="453"/>
      <c r="R12" s="453"/>
      <c r="S12" s="453"/>
      <c r="T12" s="453"/>
      <c r="U12" s="453"/>
      <c r="V12" s="565"/>
      <c r="W12" s="565"/>
      <c r="X12" s="565"/>
      <c r="Y12" s="565"/>
      <c r="Z12" s="565"/>
      <c r="AA12" s="565"/>
      <c r="AB12" s="565"/>
      <c r="AC12" s="565"/>
      <c r="AD12" s="565"/>
      <c r="AE12" s="565"/>
      <c r="AF12" s="565"/>
      <c r="AG12" s="565"/>
      <c r="AH12" s="565"/>
      <c r="AI12" s="565"/>
      <c r="AJ12" s="565"/>
      <c r="AK12" s="437"/>
      <c r="AL12" s="462"/>
      <c r="AM12" s="462"/>
      <c r="AN12" s="465"/>
    </row>
    <row r="13" spans="1:40" s="463" customFormat="1" ht="59.25" customHeight="1" outlineLevel="1" x14ac:dyDescent="0.25">
      <c r="A13" s="79" t="s">
        <v>305</v>
      </c>
      <c r="B13" s="580" t="s">
        <v>213</v>
      </c>
      <c r="C13" s="55" t="s">
        <v>226</v>
      </c>
      <c r="D13" s="461" t="s">
        <v>36</v>
      </c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49"/>
      <c r="Q13" s="449"/>
      <c r="R13" s="449"/>
      <c r="S13" s="449"/>
      <c r="T13" s="449"/>
      <c r="U13" s="449"/>
      <c r="V13" s="564"/>
      <c r="W13" s="564"/>
      <c r="X13" s="564"/>
      <c r="Y13" s="564"/>
      <c r="Z13" s="564"/>
      <c r="AA13" s="564"/>
      <c r="AB13" s="564"/>
      <c r="AC13" s="564"/>
      <c r="AD13" s="564"/>
      <c r="AE13" s="564"/>
      <c r="AF13" s="564"/>
      <c r="AG13" s="564"/>
      <c r="AH13" s="564"/>
      <c r="AI13" s="564"/>
      <c r="AJ13" s="564"/>
      <c r="AK13" s="437"/>
      <c r="AL13" s="462"/>
      <c r="AM13" s="462"/>
      <c r="AN13" s="465"/>
    </row>
    <row r="14" spans="1:40" s="469" customFormat="1" ht="19.5" customHeight="1" outlineLevel="1" x14ac:dyDescent="0.25">
      <c r="A14" s="82"/>
      <c r="B14" s="581"/>
      <c r="C14" s="464">
        <v>2021</v>
      </c>
      <c r="D14" s="467"/>
      <c r="E14" s="450"/>
      <c r="F14" s="450"/>
      <c r="G14" s="451"/>
      <c r="H14" s="451"/>
      <c r="I14" s="451"/>
      <c r="J14" s="451"/>
      <c r="K14" s="451"/>
      <c r="L14" s="453"/>
      <c r="M14" s="453"/>
      <c r="N14" s="453"/>
      <c r="O14" s="453"/>
      <c r="P14" s="453"/>
      <c r="Q14" s="453"/>
      <c r="R14" s="453"/>
      <c r="S14" s="453"/>
      <c r="T14" s="453"/>
      <c r="U14" s="453"/>
      <c r="V14" s="565"/>
      <c r="W14" s="565"/>
      <c r="X14" s="565"/>
      <c r="Y14" s="565"/>
      <c r="Z14" s="565"/>
      <c r="AA14" s="565"/>
      <c r="AB14" s="565"/>
      <c r="AC14" s="565"/>
      <c r="AD14" s="565"/>
      <c r="AE14" s="565"/>
      <c r="AF14" s="565"/>
      <c r="AG14" s="565"/>
      <c r="AH14" s="565"/>
      <c r="AI14" s="565"/>
      <c r="AJ14" s="565"/>
      <c r="AK14" s="437"/>
      <c r="AL14" s="468"/>
      <c r="AM14" s="468"/>
      <c r="AN14" s="465"/>
    </row>
    <row r="15" spans="1:40" s="463" customFormat="1" ht="51.75" customHeight="1" outlineLevel="1" x14ac:dyDescent="0.25">
      <c r="A15" s="79" t="s">
        <v>306</v>
      </c>
      <c r="B15" s="582" t="s">
        <v>75</v>
      </c>
      <c r="C15" s="55" t="s">
        <v>117</v>
      </c>
      <c r="D15" s="461" t="s">
        <v>36</v>
      </c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449"/>
      <c r="P15" s="449"/>
      <c r="Q15" s="449"/>
      <c r="R15" s="449"/>
      <c r="S15" s="449"/>
      <c r="T15" s="449"/>
      <c r="U15" s="449"/>
      <c r="V15" s="564"/>
      <c r="W15" s="564"/>
      <c r="X15" s="564"/>
      <c r="Y15" s="564"/>
      <c r="Z15" s="564"/>
      <c r="AA15" s="564"/>
      <c r="AB15" s="564"/>
      <c r="AC15" s="564"/>
      <c r="AD15" s="564"/>
      <c r="AE15" s="564"/>
      <c r="AF15" s="564"/>
      <c r="AG15" s="564"/>
      <c r="AH15" s="564"/>
      <c r="AI15" s="564"/>
      <c r="AJ15" s="564"/>
      <c r="AK15" s="437"/>
      <c r="AL15" s="462"/>
      <c r="AM15" s="462"/>
      <c r="AN15" s="465"/>
    </row>
    <row r="16" spans="1:40" s="463" customFormat="1" ht="19.5" customHeight="1" outlineLevel="1" x14ac:dyDescent="0.25">
      <c r="A16" s="596"/>
      <c r="B16" s="583"/>
      <c r="C16" s="466">
        <v>2021</v>
      </c>
      <c r="D16" s="461"/>
      <c r="E16" s="450"/>
      <c r="F16" s="450"/>
      <c r="G16" s="451"/>
      <c r="H16" s="451"/>
      <c r="I16" s="451"/>
      <c r="J16" s="451"/>
      <c r="K16" s="451"/>
      <c r="L16" s="453"/>
      <c r="M16" s="453"/>
      <c r="N16" s="453"/>
      <c r="O16" s="453"/>
      <c r="P16" s="453"/>
      <c r="Q16" s="453"/>
      <c r="R16" s="453"/>
      <c r="S16" s="453"/>
      <c r="T16" s="453"/>
      <c r="U16" s="453"/>
      <c r="V16" s="565"/>
      <c r="W16" s="565"/>
      <c r="X16" s="565"/>
      <c r="Y16" s="565"/>
      <c r="Z16" s="565"/>
      <c r="AA16" s="565"/>
      <c r="AB16" s="565"/>
      <c r="AC16" s="565"/>
      <c r="AD16" s="565"/>
      <c r="AE16" s="565"/>
      <c r="AF16" s="565"/>
      <c r="AG16" s="565"/>
      <c r="AH16" s="565"/>
      <c r="AI16" s="565"/>
      <c r="AJ16" s="565"/>
      <c r="AK16" s="437"/>
      <c r="AL16" s="462"/>
      <c r="AM16" s="462"/>
      <c r="AN16" s="465"/>
    </row>
    <row r="17" spans="1:40" s="463" customFormat="1" ht="37.5" outlineLevel="1" x14ac:dyDescent="0.25">
      <c r="A17" s="597" t="s">
        <v>305</v>
      </c>
      <c r="B17" s="584" t="s">
        <v>228</v>
      </c>
      <c r="C17" s="471" t="s">
        <v>304</v>
      </c>
      <c r="D17" s="461" t="s">
        <v>36</v>
      </c>
      <c r="E17" s="449"/>
      <c r="F17" s="449"/>
      <c r="G17" s="449"/>
      <c r="H17" s="449"/>
      <c r="I17" s="449"/>
      <c r="J17" s="449"/>
      <c r="K17" s="449"/>
      <c r="L17" s="449">
        <v>0.67</v>
      </c>
      <c r="M17" s="449"/>
      <c r="N17" s="449"/>
      <c r="O17" s="449"/>
      <c r="P17" s="449"/>
      <c r="Q17" s="449">
        <v>0.32531738486097372</v>
      </c>
      <c r="R17" s="449"/>
      <c r="S17" s="449"/>
      <c r="T17" s="449"/>
      <c r="U17" s="449"/>
      <c r="V17" s="564"/>
      <c r="W17" s="564"/>
      <c r="X17" s="564"/>
      <c r="Y17" s="564"/>
      <c r="Z17" s="564"/>
      <c r="AA17" s="564"/>
      <c r="AB17" s="564"/>
      <c r="AC17" s="564"/>
      <c r="AD17" s="564"/>
      <c r="AE17" s="564"/>
      <c r="AF17" s="564"/>
      <c r="AG17" s="564"/>
      <c r="AH17" s="564"/>
      <c r="AI17" s="564"/>
      <c r="AJ17" s="564"/>
      <c r="AK17" s="437"/>
      <c r="AL17" s="462"/>
      <c r="AM17" s="462"/>
      <c r="AN17" s="465"/>
    </row>
    <row r="18" spans="1:40" s="463" customFormat="1" ht="19.5" customHeight="1" outlineLevel="1" x14ac:dyDescent="0.25">
      <c r="A18" s="598"/>
      <c r="B18" s="585"/>
      <c r="C18" s="472" t="s">
        <v>294</v>
      </c>
      <c r="D18" s="473"/>
      <c r="E18" s="450"/>
      <c r="F18" s="450"/>
      <c r="G18" s="451"/>
      <c r="H18" s="451"/>
      <c r="I18" s="451"/>
      <c r="J18" s="451"/>
      <c r="K18" s="451"/>
      <c r="L18" s="453"/>
      <c r="M18" s="453"/>
      <c r="N18" s="453"/>
      <c r="O18" s="453"/>
      <c r="P18" s="453"/>
      <c r="Q18" s="453"/>
      <c r="R18" s="453"/>
      <c r="S18" s="453"/>
      <c r="T18" s="453"/>
      <c r="U18" s="453"/>
      <c r="V18" s="565"/>
      <c r="W18" s="565"/>
      <c r="X18" s="565"/>
      <c r="Y18" s="565"/>
      <c r="Z18" s="565"/>
      <c r="AA18" s="565"/>
      <c r="AB18" s="565"/>
      <c r="AC18" s="565"/>
      <c r="AD18" s="565"/>
      <c r="AE18" s="565"/>
      <c r="AF18" s="565"/>
      <c r="AG18" s="565"/>
      <c r="AH18" s="565"/>
      <c r="AI18" s="565"/>
      <c r="AJ18" s="565"/>
      <c r="AK18" s="437"/>
      <c r="AL18" s="462"/>
      <c r="AM18" s="462"/>
      <c r="AN18" s="465"/>
    </row>
    <row r="19" spans="1:40" s="463" customFormat="1" ht="19.5" customHeight="1" outlineLevel="1" x14ac:dyDescent="0.25">
      <c r="A19" s="79" t="s">
        <v>306</v>
      </c>
      <c r="B19" s="586" t="s">
        <v>229</v>
      </c>
      <c r="C19" s="471"/>
      <c r="D19" s="474" t="s">
        <v>36</v>
      </c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449"/>
      <c r="P19" s="449"/>
      <c r="Q19" s="449"/>
      <c r="R19" s="449"/>
      <c r="S19" s="449"/>
      <c r="T19" s="449"/>
      <c r="U19" s="449"/>
      <c r="V19" s="564"/>
      <c r="W19" s="564"/>
      <c r="X19" s="564"/>
      <c r="Y19" s="564"/>
      <c r="Z19" s="564"/>
      <c r="AA19" s="564"/>
      <c r="AB19" s="564"/>
      <c r="AC19" s="564"/>
      <c r="AD19" s="564"/>
      <c r="AE19" s="564"/>
      <c r="AF19" s="564"/>
      <c r="AG19" s="564"/>
      <c r="AH19" s="564"/>
      <c r="AI19" s="564"/>
      <c r="AJ19" s="564"/>
      <c r="AK19" s="437"/>
      <c r="AL19" s="462"/>
      <c r="AM19" s="462"/>
      <c r="AN19" s="465"/>
    </row>
    <row r="20" spans="1:40" s="463" customFormat="1" ht="19.5" customHeight="1" outlineLevel="1" x14ac:dyDescent="0.25">
      <c r="A20" s="598"/>
      <c r="B20" s="470"/>
      <c r="C20" s="472"/>
      <c r="D20" s="474"/>
      <c r="E20" s="450"/>
      <c r="F20" s="450"/>
      <c r="G20" s="451"/>
      <c r="H20" s="451"/>
      <c r="I20" s="451"/>
      <c r="J20" s="451"/>
      <c r="K20" s="451"/>
      <c r="L20" s="453"/>
      <c r="M20" s="453"/>
      <c r="N20" s="453"/>
      <c r="O20" s="453"/>
      <c r="P20" s="453"/>
      <c r="Q20" s="453"/>
      <c r="R20" s="453"/>
      <c r="S20" s="451"/>
      <c r="T20" s="453"/>
      <c r="U20" s="453"/>
      <c r="V20" s="565"/>
      <c r="W20" s="565"/>
      <c r="X20" s="565"/>
      <c r="Y20" s="565"/>
      <c r="Z20" s="565"/>
      <c r="AA20" s="565"/>
      <c r="AB20" s="565"/>
      <c r="AC20" s="565"/>
      <c r="AD20" s="565"/>
      <c r="AE20" s="565"/>
      <c r="AF20" s="565"/>
      <c r="AG20" s="565"/>
      <c r="AH20" s="565"/>
      <c r="AI20" s="565"/>
      <c r="AJ20" s="565"/>
      <c r="AK20" s="437"/>
      <c r="AL20" s="462"/>
      <c r="AM20" s="462"/>
      <c r="AN20" s="465"/>
    </row>
    <row r="21" spans="1:40" s="463" customFormat="1" ht="67.5" customHeight="1" outlineLevel="1" x14ac:dyDescent="0.25">
      <c r="A21" s="79" t="s">
        <v>309</v>
      </c>
      <c r="B21" s="441" t="s">
        <v>230</v>
      </c>
      <c r="C21" s="439" t="s">
        <v>120</v>
      </c>
      <c r="D21" s="474" t="s">
        <v>36</v>
      </c>
      <c r="E21" s="449"/>
      <c r="F21" s="449"/>
      <c r="G21" s="449"/>
      <c r="H21" s="449"/>
      <c r="I21" s="449"/>
      <c r="J21" s="449"/>
      <c r="K21" s="449"/>
      <c r="L21" s="449"/>
      <c r="M21" s="449"/>
      <c r="N21" s="449"/>
      <c r="O21" s="449"/>
      <c r="P21" s="449"/>
      <c r="Q21" s="449"/>
      <c r="R21" s="449"/>
      <c r="S21" s="449"/>
      <c r="T21" s="449"/>
      <c r="U21" s="449"/>
      <c r="V21" s="564"/>
      <c r="W21" s="564"/>
      <c r="X21" s="564"/>
      <c r="Y21" s="564"/>
      <c r="Z21" s="564"/>
      <c r="AA21" s="564"/>
      <c r="AB21" s="564"/>
      <c r="AC21" s="564"/>
      <c r="AD21" s="564"/>
      <c r="AE21" s="564"/>
      <c r="AF21" s="564"/>
      <c r="AG21" s="564"/>
      <c r="AH21" s="564"/>
      <c r="AI21" s="564"/>
      <c r="AJ21" s="564"/>
      <c r="AK21" s="437"/>
      <c r="AL21" s="462"/>
      <c r="AM21" s="462"/>
      <c r="AN21" s="465"/>
    </row>
    <row r="22" spans="1:40" s="463" customFormat="1" ht="19.5" customHeight="1" outlineLevel="1" x14ac:dyDescent="0.25">
      <c r="A22" s="82"/>
      <c r="B22" s="442"/>
      <c r="C22" s="578">
        <v>2022</v>
      </c>
      <c r="D22" s="461"/>
      <c r="E22" s="450"/>
      <c r="F22" s="450"/>
      <c r="G22" s="451"/>
      <c r="H22" s="451"/>
      <c r="I22" s="451"/>
      <c r="J22" s="451"/>
      <c r="K22" s="451"/>
      <c r="L22" s="451"/>
      <c r="M22" s="451"/>
      <c r="N22" s="451"/>
      <c r="O22" s="451"/>
      <c r="P22" s="451"/>
      <c r="Q22" s="453"/>
      <c r="R22" s="453"/>
      <c r="S22" s="453"/>
      <c r="T22" s="453"/>
      <c r="U22" s="453"/>
      <c r="V22" s="565"/>
      <c r="W22" s="565"/>
      <c r="X22" s="565"/>
      <c r="Y22" s="565"/>
      <c r="Z22" s="565"/>
      <c r="AA22" s="565"/>
      <c r="AB22" s="565"/>
      <c r="AC22" s="565"/>
      <c r="AD22" s="565"/>
      <c r="AE22" s="565"/>
      <c r="AF22" s="565"/>
      <c r="AG22" s="565"/>
      <c r="AH22" s="565"/>
      <c r="AI22" s="565"/>
      <c r="AJ22" s="565"/>
      <c r="AK22" s="437"/>
      <c r="AL22" s="462"/>
      <c r="AM22" s="462"/>
      <c r="AN22" s="465"/>
    </row>
    <row r="23" spans="1:40" s="463" customFormat="1" ht="19.5" hidden="1" customHeight="1" outlineLevel="1" x14ac:dyDescent="0.25">
      <c r="A23" s="443" t="s">
        <v>206</v>
      </c>
      <c r="B23" s="435" t="s">
        <v>232</v>
      </c>
      <c r="C23" s="140" t="s">
        <v>233</v>
      </c>
      <c r="D23" s="461" t="s">
        <v>36</v>
      </c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449"/>
      <c r="Q23" s="449"/>
      <c r="R23" s="449"/>
      <c r="S23" s="449"/>
      <c r="T23" s="449"/>
      <c r="U23" s="449"/>
      <c r="V23" s="564"/>
      <c r="W23" s="564"/>
      <c r="X23" s="564"/>
      <c r="Y23" s="564"/>
      <c r="Z23" s="564"/>
      <c r="AA23" s="564"/>
      <c r="AB23" s="564"/>
      <c r="AC23" s="564"/>
      <c r="AD23" s="564"/>
      <c r="AE23" s="564"/>
      <c r="AF23" s="564"/>
      <c r="AG23" s="564"/>
      <c r="AH23" s="564"/>
      <c r="AI23" s="564"/>
      <c r="AJ23" s="564"/>
      <c r="AK23" s="437"/>
      <c r="AL23" s="462"/>
      <c r="AM23" s="462"/>
      <c r="AN23" s="465"/>
    </row>
    <row r="24" spans="1:40" s="463" customFormat="1" ht="19.5" hidden="1" customHeight="1" outlineLevel="1" x14ac:dyDescent="0.25">
      <c r="A24" s="598"/>
      <c r="B24" s="517"/>
      <c r="C24" s="578">
        <v>2021</v>
      </c>
      <c r="D24" s="461">
        <v>300</v>
      </c>
      <c r="E24" s="450"/>
      <c r="F24" s="450"/>
      <c r="G24" s="451"/>
      <c r="H24" s="451"/>
      <c r="I24" s="451"/>
      <c r="J24" s="451"/>
      <c r="K24" s="451"/>
      <c r="L24" s="453"/>
      <c r="M24" s="451"/>
      <c r="N24" s="451"/>
      <c r="O24" s="453"/>
      <c r="P24" s="451"/>
      <c r="Q24" s="453"/>
      <c r="R24" s="453"/>
      <c r="S24" s="453"/>
      <c r="T24" s="453"/>
      <c r="U24" s="453"/>
      <c r="V24" s="565"/>
      <c r="W24" s="565"/>
      <c r="X24" s="565"/>
      <c r="Y24" s="565"/>
      <c r="Z24" s="565"/>
      <c r="AA24" s="565"/>
      <c r="AB24" s="565"/>
      <c r="AC24" s="565"/>
      <c r="AD24" s="565"/>
      <c r="AE24" s="565"/>
      <c r="AF24" s="565"/>
      <c r="AG24" s="565"/>
      <c r="AH24" s="565"/>
      <c r="AI24" s="565"/>
      <c r="AJ24" s="565"/>
      <c r="AK24" s="437"/>
      <c r="AL24" s="462"/>
      <c r="AM24" s="462"/>
      <c r="AN24" s="465"/>
    </row>
    <row r="25" spans="1:40" s="463" customFormat="1" ht="19.5" hidden="1" customHeight="1" outlineLevel="1" x14ac:dyDescent="0.25">
      <c r="A25" s="92" t="s">
        <v>207</v>
      </c>
      <c r="B25" s="444" t="s">
        <v>235</v>
      </c>
      <c r="C25" s="55" t="s">
        <v>121</v>
      </c>
      <c r="D25" s="461" t="s">
        <v>36</v>
      </c>
      <c r="E25" s="449"/>
      <c r="F25" s="449"/>
      <c r="G25" s="449"/>
      <c r="H25" s="449"/>
      <c r="I25" s="449"/>
      <c r="J25" s="449"/>
      <c r="K25" s="449"/>
      <c r="L25" s="449"/>
      <c r="M25" s="449"/>
      <c r="N25" s="449"/>
      <c r="O25" s="449"/>
      <c r="P25" s="449"/>
      <c r="Q25" s="449"/>
      <c r="R25" s="449"/>
      <c r="S25" s="449"/>
      <c r="T25" s="449"/>
      <c r="U25" s="449"/>
      <c r="V25" s="564"/>
      <c r="W25" s="564"/>
      <c r="X25" s="564"/>
      <c r="Y25" s="564"/>
      <c r="Z25" s="564"/>
      <c r="AA25" s="564"/>
      <c r="AB25" s="564"/>
      <c r="AC25" s="564"/>
      <c r="AD25" s="564"/>
      <c r="AE25" s="564"/>
      <c r="AF25" s="564"/>
      <c r="AG25" s="564"/>
      <c r="AH25" s="564"/>
      <c r="AI25" s="564"/>
      <c r="AJ25" s="564"/>
      <c r="AK25" s="437"/>
      <c r="AL25" s="462"/>
      <c r="AM25" s="462"/>
      <c r="AN25" s="465"/>
    </row>
    <row r="26" spans="1:40" s="463" customFormat="1" ht="19.5" hidden="1" customHeight="1" outlineLevel="1" x14ac:dyDescent="0.25">
      <c r="A26" s="94"/>
      <c r="B26" s="444"/>
      <c r="C26" s="578">
        <v>2021</v>
      </c>
      <c r="D26" s="475">
        <v>1000</v>
      </c>
      <c r="E26" s="450"/>
      <c r="F26" s="450"/>
      <c r="G26" s="451"/>
      <c r="H26" s="451"/>
      <c r="I26" s="451"/>
      <c r="J26" s="451"/>
      <c r="K26" s="451"/>
      <c r="L26" s="453"/>
      <c r="M26" s="451"/>
      <c r="N26" s="451"/>
      <c r="O26" s="453"/>
      <c r="P26" s="453"/>
      <c r="Q26" s="453"/>
      <c r="R26" s="453"/>
      <c r="S26" s="453"/>
      <c r="T26" s="453"/>
      <c r="U26" s="453"/>
      <c r="V26" s="565"/>
      <c r="W26" s="565"/>
      <c r="X26" s="565"/>
      <c r="Y26" s="565"/>
      <c r="Z26" s="565"/>
      <c r="AA26" s="565"/>
      <c r="AB26" s="565"/>
      <c r="AC26" s="565"/>
      <c r="AD26" s="565"/>
      <c r="AE26" s="565"/>
      <c r="AF26" s="565"/>
      <c r="AG26" s="565"/>
      <c r="AH26" s="565"/>
      <c r="AI26" s="565"/>
      <c r="AJ26" s="565"/>
      <c r="AK26" s="437"/>
      <c r="AL26" s="462"/>
      <c r="AM26" s="462"/>
      <c r="AN26" s="465"/>
    </row>
    <row r="27" spans="1:40" s="463" customFormat="1" ht="19.5" hidden="1" customHeight="1" outlineLevel="1" x14ac:dyDescent="0.25">
      <c r="A27" s="443" t="s">
        <v>208</v>
      </c>
      <c r="B27" s="552" t="s">
        <v>237</v>
      </c>
      <c r="C27" s="55" t="s">
        <v>118</v>
      </c>
      <c r="D27" s="461" t="s">
        <v>36</v>
      </c>
      <c r="E27" s="449"/>
      <c r="F27" s="449"/>
      <c r="G27" s="449"/>
      <c r="H27" s="449"/>
      <c r="I27" s="449"/>
      <c r="J27" s="449"/>
      <c r="K27" s="449"/>
      <c r="L27" s="449"/>
      <c r="M27" s="449"/>
      <c r="N27" s="449"/>
      <c r="O27" s="449"/>
      <c r="P27" s="449"/>
      <c r="Q27" s="449"/>
      <c r="R27" s="449"/>
      <c r="S27" s="449"/>
      <c r="T27" s="449"/>
      <c r="U27" s="449"/>
      <c r="V27" s="564"/>
      <c r="W27" s="564"/>
      <c r="X27" s="564"/>
      <c r="Y27" s="564"/>
      <c r="Z27" s="564"/>
      <c r="AA27" s="564"/>
      <c r="AB27" s="564"/>
      <c r="AC27" s="564"/>
      <c r="AD27" s="564"/>
      <c r="AE27" s="564"/>
      <c r="AF27" s="564"/>
      <c r="AG27" s="564"/>
      <c r="AH27" s="564"/>
      <c r="AI27" s="564"/>
      <c r="AJ27" s="564"/>
      <c r="AK27" s="437"/>
      <c r="AL27" s="462"/>
      <c r="AM27" s="462"/>
      <c r="AN27" s="465"/>
    </row>
    <row r="28" spans="1:40" s="463" customFormat="1" ht="19.5" hidden="1" customHeight="1" outlineLevel="1" x14ac:dyDescent="0.25">
      <c r="A28" s="443"/>
      <c r="B28" s="553"/>
      <c r="C28" s="578">
        <v>2021</v>
      </c>
      <c r="D28" s="475">
        <v>300</v>
      </c>
      <c r="E28" s="450"/>
      <c r="F28" s="450"/>
      <c r="G28" s="451"/>
      <c r="H28" s="451"/>
      <c r="I28" s="451"/>
      <c r="J28" s="451"/>
      <c r="K28" s="451"/>
      <c r="L28" s="453"/>
      <c r="M28" s="451"/>
      <c r="N28" s="451"/>
      <c r="O28" s="453"/>
      <c r="P28" s="453"/>
      <c r="Q28" s="453"/>
      <c r="R28" s="453"/>
      <c r="S28" s="453"/>
      <c r="T28" s="453"/>
      <c r="U28" s="453"/>
      <c r="V28" s="565"/>
      <c r="W28" s="565"/>
      <c r="X28" s="565"/>
      <c r="Y28" s="565"/>
      <c r="Z28" s="565"/>
      <c r="AA28" s="565"/>
      <c r="AB28" s="565"/>
      <c r="AC28" s="565"/>
      <c r="AD28" s="565"/>
      <c r="AE28" s="565"/>
      <c r="AF28" s="565"/>
      <c r="AG28" s="565"/>
      <c r="AH28" s="565"/>
      <c r="AI28" s="565"/>
      <c r="AJ28" s="565"/>
      <c r="AK28" s="437"/>
      <c r="AL28" s="462"/>
      <c r="AM28" s="462"/>
      <c r="AN28" s="465"/>
    </row>
    <row r="29" spans="1:40" s="463" customFormat="1" ht="19.5" hidden="1" customHeight="1" outlineLevel="1" x14ac:dyDescent="0.25">
      <c r="A29" s="92" t="s">
        <v>231</v>
      </c>
      <c r="B29" s="552" t="s">
        <v>239</v>
      </c>
      <c r="C29" s="55" t="s">
        <v>118</v>
      </c>
      <c r="D29" s="461" t="s">
        <v>36</v>
      </c>
      <c r="E29" s="449"/>
      <c r="F29" s="449"/>
      <c r="G29" s="449"/>
      <c r="H29" s="449"/>
      <c r="I29" s="449"/>
      <c r="J29" s="449"/>
      <c r="K29" s="449"/>
      <c r="L29" s="449"/>
      <c r="M29" s="449"/>
      <c r="N29" s="449"/>
      <c r="O29" s="449"/>
      <c r="P29" s="449"/>
      <c r="Q29" s="449"/>
      <c r="R29" s="449"/>
      <c r="S29" s="449"/>
      <c r="T29" s="449"/>
      <c r="U29" s="449"/>
      <c r="V29" s="564"/>
      <c r="W29" s="564"/>
      <c r="X29" s="564"/>
      <c r="Y29" s="564"/>
      <c r="Z29" s="564"/>
      <c r="AA29" s="564"/>
      <c r="AB29" s="564"/>
      <c r="AC29" s="564"/>
      <c r="AD29" s="564"/>
      <c r="AE29" s="564"/>
      <c r="AF29" s="564"/>
      <c r="AG29" s="564"/>
      <c r="AH29" s="564"/>
      <c r="AI29" s="564"/>
      <c r="AJ29" s="564"/>
      <c r="AK29" s="437"/>
      <c r="AL29" s="462"/>
      <c r="AM29" s="462"/>
      <c r="AN29" s="465"/>
    </row>
    <row r="30" spans="1:40" s="463" customFormat="1" ht="19.5" hidden="1" customHeight="1" outlineLevel="1" x14ac:dyDescent="0.25">
      <c r="A30" s="82"/>
      <c r="B30" s="553"/>
      <c r="C30" s="578">
        <v>2021</v>
      </c>
      <c r="D30" s="461">
        <v>3007.69</v>
      </c>
      <c r="E30" s="450"/>
      <c r="F30" s="450"/>
      <c r="G30" s="451"/>
      <c r="H30" s="451"/>
      <c r="I30" s="451"/>
      <c r="J30" s="451"/>
      <c r="K30" s="451"/>
      <c r="L30" s="453"/>
      <c r="M30" s="453"/>
      <c r="N30" s="453"/>
      <c r="O30" s="453"/>
      <c r="P30" s="453"/>
      <c r="Q30" s="453"/>
      <c r="R30" s="453"/>
      <c r="S30" s="453"/>
      <c r="T30" s="453"/>
      <c r="U30" s="453"/>
      <c r="V30" s="565"/>
      <c r="W30" s="565"/>
      <c r="X30" s="565"/>
      <c r="Y30" s="565"/>
      <c r="Z30" s="565"/>
      <c r="AA30" s="565"/>
      <c r="AB30" s="565"/>
      <c r="AC30" s="565"/>
      <c r="AD30" s="565"/>
      <c r="AE30" s="565"/>
      <c r="AF30" s="565"/>
      <c r="AG30" s="565"/>
      <c r="AH30" s="565"/>
      <c r="AI30" s="565"/>
      <c r="AJ30" s="565"/>
      <c r="AK30" s="437"/>
      <c r="AL30" s="462"/>
      <c r="AM30" s="462"/>
      <c r="AN30" s="465"/>
    </row>
    <row r="31" spans="1:40" s="463" customFormat="1" ht="19.5" hidden="1" customHeight="1" outlineLevel="1" x14ac:dyDescent="0.25">
      <c r="A31" s="598" t="s">
        <v>234</v>
      </c>
      <c r="B31" s="587" t="s">
        <v>241</v>
      </c>
      <c r="C31" s="605" t="s">
        <v>242</v>
      </c>
      <c r="D31" s="461" t="s">
        <v>36</v>
      </c>
      <c r="E31" s="449"/>
      <c r="F31" s="449"/>
      <c r="G31" s="449"/>
      <c r="H31" s="449"/>
      <c r="I31" s="449"/>
      <c r="J31" s="449"/>
      <c r="K31" s="449"/>
      <c r="L31" s="449"/>
      <c r="M31" s="449"/>
      <c r="N31" s="449"/>
      <c r="O31" s="449"/>
      <c r="P31" s="449"/>
      <c r="Q31" s="449"/>
      <c r="R31" s="449"/>
      <c r="S31" s="449"/>
      <c r="T31" s="449"/>
      <c r="U31" s="449"/>
      <c r="V31" s="564"/>
      <c r="W31" s="564"/>
      <c r="X31" s="564"/>
      <c r="Y31" s="564"/>
      <c r="Z31" s="564"/>
      <c r="AA31" s="564"/>
      <c r="AB31" s="564"/>
      <c r="AC31" s="564"/>
      <c r="AD31" s="564"/>
      <c r="AE31" s="564"/>
      <c r="AF31" s="564"/>
      <c r="AG31" s="564"/>
      <c r="AH31" s="564"/>
      <c r="AI31" s="564"/>
      <c r="AJ31" s="564"/>
      <c r="AK31" s="437"/>
      <c r="AL31" s="462"/>
      <c r="AM31" s="462"/>
      <c r="AN31" s="465"/>
    </row>
    <row r="32" spans="1:40" s="463" customFormat="1" ht="19.5" hidden="1" customHeight="1" outlineLevel="1" x14ac:dyDescent="0.25">
      <c r="A32" s="82"/>
      <c r="B32" s="588"/>
      <c r="C32" s="578">
        <v>2021</v>
      </c>
      <c r="D32" s="461">
        <v>2000</v>
      </c>
      <c r="E32" s="450"/>
      <c r="F32" s="450"/>
      <c r="G32" s="451"/>
      <c r="H32" s="451"/>
      <c r="I32" s="451"/>
      <c r="J32" s="451"/>
      <c r="K32" s="451"/>
      <c r="L32" s="453"/>
      <c r="M32" s="453"/>
      <c r="N32" s="453"/>
      <c r="O32" s="453"/>
      <c r="P32" s="453"/>
      <c r="Q32" s="453"/>
      <c r="R32" s="453"/>
      <c r="S32" s="453"/>
      <c r="T32" s="453"/>
      <c r="U32" s="453"/>
      <c r="V32" s="565"/>
      <c r="W32" s="565"/>
      <c r="X32" s="565"/>
      <c r="Y32" s="565"/>
      <c r="Z32" s="565"/>
      <c r="AA32" s="565"/>
      <c r="AB32" s="565"/>
      <c r="AC32" s="565"/>
      <c r="AD32" s="565"/>
      <c r="AE32" s="565"/>
      <c r="AF32" s="565"/>
      <c r="AG32" s="565"/>
      <c r="AH32" s="565"/>
      <c r="AI32" s="565"/>
      <c r="AJ32" s="565"/>
      <c r="AK32" s="437"/>
      <c r="AL32" s="462"/>
      <c r="AM32" s="462"/>
      <c r="AN32" s="465"/>
    </row>
    <row r="33" spans="1:40" s="463" customFormat="1" ht="19.5" hidden="1" customHeight="1" outlineLevel="1" x14ac:dyDescent="0.25">
      <c r="A33" s="79" t="s">
        <v>236</v>
      </c>
      <c r="B33" s="587" t="s">
        <v>244</v>
      </c>
      <c r="C33" s="605" t="s">
        <v>120</v>
      </c>
      <c r="D33" s="461" t="s">
        <v>36</v>
      </c>
      <c r="E33" s="449"/>
      <c r="F33" s="449"/>
      <c r="G33" s="449"/>
      <c r="H33" s="449"/>
      <c r="I33" s="449"/>
      <c r="J33" s="449"/>
      <c r="K33" s="449"/>
      <c r="L33" s="449"/>
      <c r="M33" s="449"/>
      <c r="N33" s="449"/>
      <c r="O33" s="449"/>
      <c r="P33" s="449"/>
      <c r="Q33" s="449"/>
      <c r="R33" s="449"/>
      <c r="S33" s="449"/>
      <c r="T33" s="449"/>
      <c r="U33" s="449"/>
      <c r="V33" s="564"/>
      <c r="W33" s="564"/>
      <c r="X33" s="564"/>
      <c r="Y33" s="564"/>
      <c r="Z33" s="564"/>
      <c r="AA33" s="564"/>
      <c r="AB33" s="564"/>
      <c r="AC33" s="564"/>
      <c r="AD33" s="564"/>
      <c r="AE33" s="564"/>
      <c r="AF33" s="564"/>
      <c r="AG33" s="564"/>
      <c r="AH33" s="564"/>
      <c r="AI33" s="564"/>
      <c r="AJ33" s="564"/>
      <c r="AK33" s="437"/>
      <c r="AL33" s="462"/>
      <c r="AM33" s="462"/>
      <c r="AN33" s="465"/>
    </row>
    <row r="34" spans="1:40" s="463" customFormat="1" ht="19.5" hidden="1" customHeight="1" outlineLevel="1" x14ac:dyDescent="0.25">
      <c r="A34" s="82"/>
      <c r="B34" s="588"/>
      <c r="C34" s="578">
        <v>2021</v>
      </c>
      <c r="D34" s="461">
        <v>3500</v>
      </c>
      <c r="E34" s="450"/>
      <c r="F34" s="450"/>
      <c r="G34" s="451"/>
      <c r="H34" s="451"/>
      <c r="I34" s="451"/>
      <c r="J34" s="451"/>
      <c r="K34" s="451"/>
      <c r="L34" s="453"/>
      <c r="M34" s="453"/>
      <c r="N34" s="453"/>
      <c r="O34" s="451"/>
      <c r="P34" s="451"/>
      <c r="Q34" s="453"/>
      <c r="R34" s="453"/>
      <c r="S34" s="453"/>
      <c r="T34" s="453"/>
      <c r="U34" s="453"/>
      <c r="V34" s="565"/>
      <c r="W34" s="565"/>
      <c r="X34" s="565"/>
      <c r="Y34" s="565"/>
      <c r="Z34" s="565"/>
      <c r="AA34" s="565"/>
      <c r="AB34" s="565"/>
      <c r="AC34" s="565"/>
      <c r="AD34" s="565"/>
      <c r="AE34" s="565"/>
      <c r="AF34" s="565"/>
      <c r="AG34" s="565"/>
      <c r="AH34" s="565"/>
      <c r="AI34" s="565"/>
      <c r="AJ34" s="565"/>
      <c r="AK34" s="437"/>
      <c r="AL34" s="462"/>
      <c r="AM34" s="462"/>
      <c r="AN34" s="465"/>
    </row>
    <row r="35" spans="1:40" s="463" customFormat="1" ht="19.5" hidden="1" customHeight="1" outlineLevel="1" x14ac:dyDescent="0.25">
      <c r="A35" s="79" t="s">
        <v>238</v>
      </c>
      <c r="B35" s="587" t="s">
        <v>246</v>
      </c>
      <c r="C35" s="605" t="s">
        <v>247</v>
      </c>
      <c r="D35" s="474" t="s">
        <v>36</v>
      </c>
      <c r="E35" s="449"/>
      <c r="F35" s="449"/>
      <c r="G35" s="449"/>
      <c r="H35" s="449"/>
      <c r="I35" s="449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49"/>
      <c r="U35" s="449"/>
      <c r="V35" s="564"/>
      <c r="W35" s="564"/>
      <c r="X35" s="564"/>
      <c r="Y35" s="564"/>
      <c r="Z35" s="564"/>
      <c r="AA35" s="564"/>
      <c r="AB35" s="564"/>
      <c r="AC35" s="564"/>
      <c r="AD35" s="564"/>
      <c r="AE35" s="564"/>
      <c r="AF35" s="564"/>
      <c r="AG35" s="564"/>
      <c r="AH35" s="564"/>
      <c r="AI35" s="564"/>
      <c r="AJ35" s="564"/>
      <c r="AK35" s="437"/>
      <c r="AL35" s="462"/>
      <c r="AM35" s="462"/>
      <c r="AN35" s="465"/>
    </row>
    <row r="36" spans="1:40" s="463" customFormat="1" ht="19.5" hidden="1" customHeight="1" outlineLevel="1" x14ac:dyDescent="0.25">
      <c r="A36" s="82"/>
      <c r="B36" s="588"/>
      <c r="C36" s="578">
        <v>2021</v>
      </c>
      <c r="D36" s="461">
        <v>12000</v>
      </c>
      <c r="E36" s="450"/>
      <c r="F36" s="450"/>
      <c r="G36" s="451"/>
      <c r="H36" s="451"/>
      <c r="I36" s="451"/>
      <c r="J36" s="451"/>
      <c r="K36" s="451"/>
      <c r="L36" s="451"/>
      <c r="M36" s="451"/>
      <c r="N36" s="451"/>
      <c r="O36" s="451"/>
      <c r="P36" s="453"/>
      <c r="Q36" s="453"/>
      <c r="R36" s="453"/>
      <c r="S36" s="453"/>
      <c r="T36" s="453"/>
      <c r="U36" s="453"/>
      <c r="V36" s="565"/>
      <c r="W36" s="565"/>
      <c r="X36" s="565"/>
      <c r="Y36" s="565"/>
      <c r="Z36" s="565"/>
      <c r="AA36" s="565"/>
      <c r="AB36" s="565"/>
      <c r="AC36" s="565"/>
      <c r="AD36" s="565"/>
      <c r="AE36" s="565"/>
      <c r="AF36" s="565"/>
      <c r="AG36" s="565"/>
      <c r="AH36" s="565"/>
      <c r="AI36" s="565"/>
      <c r="AJ36" s="565"/>
      <c r="AK36" s="437"/>
      <c r="AL36" s="462"/>
      <c r="AM36" s="462"/>
      <c r="AN36" s="465"/>
    </row>
    <row r="37" spans="1:40" s="463" customFormat="1" ht="19.5" hidden="1" customHeight="1" outlineLevel="1" x14ac:dyDescent="0.25">
      <c r="A37" s="599" t="s">
        <v>240</v>
      </c>
      <c r="B37" s="515" t="s">
        <v>218</v>
      </c>
      <c r="C37" s="605" t="s">
        <v>248</v>
      </c>
      <c r="D37" s="461" t="s">
        <v>36</v>
      </c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564"/>
      <c r="W37" s="564"/>
      <c r="X37" s="564"/>
      <c r="Y37" s="564"/>
      <c r="Z37" s="564"/>
      <c r="AA37" s="564"/>
      <c r="AB37" s="564"/>
      <c r="AC37" s="564"/>
      <c r="AD37" s="564"/>
      <c r="AE37" s="564"/>
      <c r="AF37" s="564"/>
      <c r="AG37" s="564"/>
      <c r="AH37" s="564"/>
      <c r="AI37" s="564"/>
      <c r="AJ37" s="564"/>
      <c r="AK37" s="437"/>
      <c r="AL37" s="462"/>
      <c r="AM37" s="462"/>
      <c r="AN37" s="465"/>
    </row>
    <row r="38" spans="1:40" s="463" customFormat="1" ht="19.5" hidden="1" customHeight="1" outlineLevel="1" x14ac:dyDescent="0.25">
      <c r="A38" s="598"/>
      <c r="B38" s="435"/>
      <c r="C38" s="578">
        <v>2021</v>
      </c>
      <c r="D38" s="461">
        <v>48500</v>
      </c>
      <c r="E38" s="450"/>
      <c r="F38" s="450"/>
      <c r="G38" s="451"/>
      <c r="H38" s="451"/>
      <c r="I38" s="451"/>
      <c r="J38" s="451"/>
      <c r="K38" s="451"/>
      <c r="L38" s="451"/>
      <c r="M38" s="451"/>
      <c r="N38" s="451"/>
      <c r="O38" s="451"/>
      <c r="P38" s="451"/>
      <c r="Q38" s="453"/>
      <c r="R38" s="453"/>
      <c r="S38" s="453"/>
      <c r="T38" s="453"/>
      <c r="U38" s="453"/>
      <c r="V38" s="565"/>
      <c r="W38" s="565"/>
      <c r="X38" s="565"/>
      <c r="Y38" s="565"/>
      <c r="Z38" s="565"/>
      <c r="AA38" s="565"/>
      <c r="AB38" s="565"/>
      <c r="AC38" s="565"/>
      <c r="AD38" s="565"/>
      <c r="AE38" s="565"/>
      <c r="AF38" s="565"/>
      <c r="AG38" s="565"/>
      <c r="AH38" s="565"/>
      <c r="AI38" s="565"/>
      <c r="AJ38" s="565"/>
      <c r="AK38" s="437"/>
      <c r="AL38" s="462"/>
      <c r="AM38" s="462"/>
      <c r="AN38" s="465"/>
    </row>
    <row r="39" spans="1:40" s="463" customFormat="1" ht="19.5" customHeight="1" outlineLevel="1" x14ac:dyDescent="0.25">
      <c r="A39" s="79" t="s">
        <v>243</v>
      </c>
      <c r="B39" s="552" t="s">
        <v>250</v>
      </c>
      <c r="C39" s="55" t="s">
        <v>233</v>
      </c>
      <c r="D39" s="461" t="s">
        <v>36</v>
      </c>
      <c r="E39" s="449"/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564"/>
      <c r="W39" s="564"/>
      <c r="X39" s="564"/>
      <c r="Y39" s="564"/>
      <c r="Z39" s="564"/>
      <c r="AA39" s="564"/>
      <c r="AB39" s="564"/>
      <c r="AC39" s="564"/>
      <c r="AD39" s="564"/>
      <c r="AE39" s="564"/>
      <c r="AF39" s="564"/>
      <c r="AG39" s="564"/>
      <c r="AH39" s="564"/>
      <c r="AI39" s="564"/>
      <c r="AJ39" s="564"/>
      <c r="AK39" s="437"/>
      <c r="AL39" s="462"/>
      <c r="AM39" s="462"/>
      <c r="AN39" s="465"/>
    </row>
    <row r="40" spans="1:40" s="463" customFormat="1" ht="19.5" customHeight="1" outlineLevel="1" x14ac:dyDescent="0.25">
      <c r="A40" s="82"/>
      <c r="B40" s="553"/>
      <c r="C40" s="578">
        <v>2021</v>
      </c>
      <c r="D40" s="461"/>
      <c r="E40" s="450"/>
      <c r="F40" s="450"/>
      <c r="G40" s="451"/>
      <c r="H40" s="451"/>
      <c r="I40" s="451"/>
      <c r="J40" s="451"/>
      <c r="K40" s="451"/>
      <c r="L40" s="451"/>
      <c r="M40" s="451"/>
      <c r="N40" s="451"/>
      <c r="O40" s="451"/>
      <c r="P40" s="453"/>
      <c r="Q40" s="453"/>
      <c r="R40" s="453"/>
      <c r="S40" s="453"/>
      <c r="T40" s="453"/>
      <c r="U40" s="453"/>
      <c r="V40" s="565"/>
      <c r="W40" s="565"/>
      <c r="X40" s="565"/>
      <c r="Y40" s="565"/>
      <c r="Z40" s="565"/>
      <c r="AA40" s="565"/>
      <c r="AB40" s="565"/>
      <c r="AC40" s="565"/>
      <c r="AD40" s="565"/>
      <c r="AE40" s="565"/>
      <c r="AF40" s="565"/>
      <c r="AG40" s="565"/>
      <c r="AH40" s="565"/>
      <c r="AI40" s="565"/>
      <c r="AJ40" s="565"/>
      <c r="AK40" s="437"/>
      <c r="AL40" s="462"/>
      <c r="AM40" s="462"/>
      <c r="AN40" s="465"/>
    </row>
    <row r="41" spans="1:40" s="463" customFormat="1" ht="19.5" customHeight="1" outlineLevel="1" x14ac:dyDescent="0.25">
      <c r="A41" s="79" t="s">
        <v>245</v>
      </c>
      <c r="B41" s="552" t="s">
        <v>252</v>
      </c>
      <c r="C41" s="55" t="s">
        <v>253</v>
      </c>
      <c r="D41" s="461" t="s">
        <v>36</v>
      </c>
      <c r="E41" s="450"/>
      <c r="F41" s="450"/>
      <c r="G41" s="451"/>
      <c r="H41" s="452"/>
      <c r="I41" s="451"/>
      <c r="J41" s="508"/>
      <c r="K41" s="451"/>
      <c r="L41" s="453"/>
      <c r="M41" s="453"/>
      <c r="N41" s="453"/>
      <c r="O41" s="453"/>
      <c r="P41" s="453"/>
      <c r="Q41" s="453"/>
      <c r="R41" s="453"/>
      <c r="S41" s="453"/>
      <c r="T41" s="453"/>
      <c r="U41" s="453"/>
      <c r="V41" s="565"/>
      <c r="W41" s="565"/>
      <c r="X41" s="565"/>
      <c r="Y41" s="565"/>
      <c r="Z41" s="565"/>
      <c r="AA41" s="565"/>
      <c r="AB41" s="565"/>
      <c r="AC41" s="565"/>
      <c r="AD41" s="565"/>
      <c r="AE41" s="565"/>
      <c r="AF41" s="565"/>
      <c r="AG41" s="565"/>
      <c r="AH41" s="565"/>
      <c r="AI41" s="565"/>
      <c r="AJ41" s="565"/>
      <c r="AK41" s="437"/>
      <c r="AL41" s="462"/>
      <c r="AM41" s="462"/>
      <c r="AN41" s="465"/>
    </row>
    <row r="42" spans="1:40" s="463" customFormat="1" ht="19.5" customHeight="1" outlineLevel="1" x14ac:dyDescent="0.25">
      <c r="A42" s="82"/>
      <c r="B42" s="553"/>
      <c r="C42" s="578">
        <v>2021</v>
      </c>
      <c r="D42" s="461"/>
      <c r="E42" s="450"/>
      <c r="F42" s="450"/>
      <c r="G42" s="451"/>
      <c r="H42" s="451"/>
      <c r="I42" s="451"/>
      <c r="J42" s="451"/>
      <c r="K42" s="451"/>
      <c r="L42" s="452"/>
      <c r="M42" s="453"/>
      <c r="N42" s="453"/>
      <c r="O42" s="453"/>
      <c r="P42" s="453"/>
      <c r="Q42" s="453"/>
      <c r="R42" s="453"/>
      <c r="S42" s="453"/>
      <c r="T42" s="453"/>
      <c r="U42" s="453"/>
      <c r="V42" s="565"/>
      <c r="W42" s="565"/>
      <c r="X42" s="565"/>
      <c r="Y42" s="565"/>
      <c r="Z42" s="565"/>
      <c r="AA42" s="565"/>
      <c r="AB42" s="565"/>
      <c r="AC42" s="565"/>
      <c r="AD42" s="565"/>
      <c r="AE42" s="565"/>
      <c r="AF42" s="565"/>
      <c r="AG42" s="565"/>
      <c r="AH42" s="565"/>
      <c r="AI42" s="565"/>
      <c r="AJ42" s="565"/>
      <c r="AK42" s="437"/>
      <c r="AL42" s="462"/>
      <c r="AM42" s="462"/>
      <c r="AN42" s="465"/>
    </row>
    <row r="43" spans="1:40" s="463" customFormat="1" ht="19.5" customHeight="1" outlineLevel="1" x14ac:dyDescent="0.25">
      <c r="A43" s="598" t="s">
        <v>310</v>
      </c>
      <c r="B43" s="532" t="s">
        <v>301</v>
      </c>
      <c r="C43" s="472" t="s">
        <v>123</v>
      </c>
      <c r="D43" s="461" t="s">
        <v>36</v>
      </c>
      <c r="E43" s="449"/>
      <c r="F43" s="449"/>
      <c r="G43" s="449"/>
      <c r="H43" s="449"/>
      <c r="I43" s="449"/>
      <c r="J43" s="449"/>
      <c r="K43" s="449"/>
      <c r="L43" s="452">
        <v>1</v>
      </c>
      <c r="M43" s="449"/>
      <c r="N43" s="449"/>
      <c r="O43" s="449"/>
      <c r="P43" s="449"/>
      <c r="Q43" s="449"/>
      <c r="R43" s="449"/>
      <c r="S43" s="449"/>
      <c r="T43" s="449"/>
      <c r="U43" s="449"/>
      <c r="V43" s="564"/>
      <c r="W43" s="564"/>
      <c r="X43" s="564"/>
      <c r="Y43" s="564"/>
      <c r="Z43" s="564"/>
      <c r="AA43" s="564"/>
      <c r="AB43" s="564"/>
      <c r="AC43" s="564"/>
      <c r="AD43" s="564"/>
      <c r="AE43" s="564"/>
      <c r="AF43" s="564"/>
      <c r="AG43" s="564"/>
      <c r="AH43" s="564"/>
      <c r="AI43" s="564"/>
      <c r="AJ43" s="564"/>
      <c r="AK43" s="437"/>
      <c r="AL43" s="462"/>
      <c r="AM43" s="462"/>
      <c r="AN43" s="465"/>
    </row>
    <row r="44" spans="1:40" s="463" customFormat="1" ht="19.5" customHeight="1" outlineLevel="1" x14ac:dyDescent="0.25">
      <c r="A44" s="598"/>
      <c r="B44" s="533"/>
      <c r="C44" s="472">
        <v>2021</v>
      </c>
      <c r="D44" s="461"/>
      <c r="E44" s="450"/>
      <c r="F44" s="450"/>
      <c r="G44" s="451"/>
      <c r="H44" s="451"/>
      <c r="I44" s="451"/>
      <c r="J44" s="451"/>
      <c r="K44" s="451"/>
      <c r="L44" s="453"/>
      <c r="M44" s="453"/>
      <c r="N44" s="453"/>
      <c r="O44" s="453"/>
      <c r="P44" s="453"/>
      <c r="Q44" s="453"/>
      <c r="R44" s="453"/>
      <c r="S44" s="453"/>
      <c r="T44" s="453"/>
      <c r="U44" s="453"/>
      <c r="V44" s="565"/>
      <c r="W44" s="565"/>
      <c r="X44" s="565"/>
      <c r="Y44" s="565"/>
      <c r="Z44" s="565"/>
      <c r="AA44" s="565"/>
      <c r="AB44" s="565"/>
      <c r="AC44" s="565"/>
      <c r="AD44" s="565"/>
      <c r="AE44" s="565"/>
      <c r="AF44" s="565"/>
      <c r="AG44" s="565"/>
      <c r="AH44" s="565"/>
      <c r="AI44" s="565"/>
      <c r="AJ44" s="565"/>
      <c r="AK44" s="437"/>
      <c r="AL44" s="462"/>
      <c r="AM44" s="462"/>
      <c r="AN44" s="465"/>
    </row>
    <row r="45" spans="1:40" s="463" customFormat="1" ht="19.5" customHeight="1" outlineLevel="1" x14ac:dyDescent="0.25">
      <c r="A45" s="79" t="s">
        <v>249</v>
      </c>
      <c r="B45" s="552" t="s">
        <v>255</v>
      </c>
      <c r="C45" s="55" t="s">
        <v>256</v>
      </c>
      <c r="D45" s="461" t="s">
        <v>36</v>
      </c>
      <c r="E45" s="449"/>
      <c r="F45" s="449"/>
      <c r="G45" s="449"/>
      <c r="H45" s="449"/>
      <c r="I45" s="449"/>
      <c r="J45" s="449"/>
      <c r="K45" s="449"/>
      <c r="L45" s="449"/>
      <c r="M45" s="449"/>
      <c r="N45" s="449"/>
      <c r="O45" s="449"/>
      <c r="P45" s="449"/>
      <c r="Q45" s="449"/>
      <c r="R45" s="449"/>
      <c r="S45" s="449"/>
      <c r="T45" s="449"/>
      <c r="U45" s="449"/>
      <c r="V45" s="564"/>
      <c r="W45" s="564"/>
      <c r="X45" s="564"/>
      <c r="Y45" s="564"/>
      <c r="Z45" s="564"/>
      <c r="AA45" s="564"/>
      <c r="AB45" s="564"/>
      <c r="AC45" s="564"/>
      <c r="AD45" s="564"/>
      <c r="AE45" s="564"/>
      <c r="AF45" s="564"/>
      <c r="AG45" s="564"/>
      <c r="AH45" s="564"/>
      <c r="AI45" s="564"/>
      <c r="AJ45" s="564"/>
      <c r="AK45" s="437"/>
      <c r="AL45" s="462"/>
      <c r="AM45" s="462"/>
      <c r="AN45" s="465"/>
    </row>
    <row r="46" spans="1:40" s="463" customFormat="1" ht="19.5" customHeight="1" outlineLevel="1" x14ac:dyDescent="0.25">
      <c r="A46" s="82"/>
      <c r="B46" s="553"/>
      <c r="C46" s="578">
        <v>2021</v>
      </c>
      <c r="D46" s="461"/>
      <c r="E46" s="450"/>
      <c r="F46" s="450"/>
      <c r="G46" s="451"/>
      <c r="H46" s="451"/>
      <c r="I46" s="451"/>
      <c r="J46" s="451"/>
      <c r="K46" s="451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565"/>
      <c r="W46" s="565"/>
      <c r="X46" s="565"/>
      <c r="Y46" s="565"/>
      <c r="Z46" s="565"/>
      <c r="AA46" s="565"/>
      <c r="AB46" s="565"/>
      <c r="AC46" s="565"/>
      <c r="AD46" s="565"/>
      <c r="AE46" s="565"/>
      <c r="AF46" s="565"/>
      <c r="AG46" s="565"/>
      <c r="AH46" s="565"/>
      <c r="AI46" s="565"/>
      <c r="AJ46" s="565"/>
      <c r="AK46" s="437"/>
      <c r="AL46" s="462"/>
      <c r="AM46" s="462"/>
      <c r="AN46" s="465"/>
    </row>
    <row r="47" spans="1:40" s="463" customFormat="1" ht="19.5" customHeight="1" outlineLevel="1" x14ac:dyDescent="0.25">
      <c r="A47" s="79" t="s">
        <v>251</v>
      </c>
      <c r="B47" s="552" t="s">
        <v>258</v>
      </c>
      <c r="C47" s="55" t="s">
        <v>233</v>
      </c>
      <c r="D47" s="461" t="s">
        <v>36</v>
      </c>
      <c r="E47" s="449"/>
      <c r="F47" s="449"/>
      <c r="G47" s="449"/>
      <c r="H47" s="449"/>
      <c r="I47" s="449"/>
      <c r="J47" s="449"/>
      <c r="K47" s="449"/>
      <c r="L47" s="449"/>
      <c r="M47" s="449"/>
      <c r="N47" s="449"/>
      <c r="O47" s="449"/>
      <c r="P47" s="449"/>
      <c r="Q47" s="449"/>
      <c r="R47" s="449"/>
      <c r="S47" s="449"/>
      <c r="T47" s="449"/>
      <c r="U47" s="449"/>
      <c r="V47" s="564"/>
      <c r="W47" s="564"/>
      <c r="X47" s="564"/>
      <c r="Y47" s="564"/>
      <c r="Z47" s="564"/>
      <c r="AA47" s="564"/>
      <c r="AB47" s="564"/>
      <c r="AC47" s="564"/>
      <c r="AD47" s="564"/>
      <c r="AE47" s="564"/>
      <c r="AF47" s="564"/>
      <c r="AG47" s="564"/>
      <c r="AH47" s="564"/>
      <c r="AI47" s="564"/>
      <c r="AJ47" s="564"/>
      <c r="AK47" s="437"/>
      <c r="AL47" s="462"/>
      <c r="AM47" s="462"/>
      <c r="AN47" s="465"/>
    </row>
    <row r="48" spans="1:40" s="463" customFormat="1" ht="19.5" customHeight="1" outlineLevel="1" x14ac:dyDescent="0.25">
      <c r="A48" s="82"/>
      <c r="B48" s="553"/>
      <c r="C48" s="578">
        <v>2022</v>
      </c>
      <c r="D48" s="461"/>
      <c r="E48" s="450"/>
      <c r="F48" s="450"/>
      <c r="G48" s="451"/>
      <c r="H48" s="451"/>
      <c r="I48" s="451"/>
      <c r="J48" s="451"/>
      <c r="K48" s="451"/>
      <c r="L48" s="453"/>
      <c r="M48" s="453"/>
      <c r="N48" s="453"/>
      <c r="O48" s="453"/>
      <c r="P48" s="453"/>
      <c r="Q48" s="453"/>
      <c r="R48" s="453"/>
      <c r="S48" s="453"/>
      <c r="T48" s="453"/>
      <c r="U48" s="453"/>
      <c r="V48" s="565"/>
      <c r="W48" s="565"/>
      <c r="X48" s="565"/>
      <c r="Y48" s="565"/>
      <c r="Z48" s="565"/>
      <c r="AA48" s="565"/>
      <c r="AB48" s="565"/>
      <c r="AC48" s="565"/>
      <c r="AD48" s="565"/>
      <c r="AE48" s="565"/>
      <c r="AF48" s="565"/>
      <c r="AG48" s="565"/>
      <c r="AH48" s="565"/>
      <c r="AI48" s="565"/>
      <c r="AJ48" s="565"/>
      <c r="AK48" s="437"/>
      <c r="AL48" s="462"/>
      <c r="AM48" s="462"/>
      <c r="AN48" s="465"/>
    </row>
    <row r="49" spans="1:40" s="463" customFormat="1" ht="19.5" customHeight="1" outlineLevel="1" x14ac:dyDescent="0.25">
      <c r="A49" s="79" t="s">
        <v>254</v>
      </c>
      <c r="B49" s="587" t="s">
        <v>259</v>
      </c>
      <c r="C49" s="81" t="s">
        <v>122</v>
      </c>
      <c r="D49" s="461" t="s">
        <v>36</v>
      </c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564"/>
      <c r="W49" s="564"/>
      <c r="X49" s="564"/>
      <c r="Y49" s="564"/>
      <c r="Z49" s="564"/>
      <c r="AA49" s="564"/>
      <c r="AB49" s="564"/>
      <c r="AC49" s="564"/>
      <c r="AD49" s="564"/>
      <c r="AE49" s="564"/>
      <c r="AF49" s="564"/>
      <c r="AG49" s="564"/>
      <c r="AH49" s="564"/>
      <c r="AI49" s="564"/>
      <c r="AJ49" s="564"/>
      <c r="AK49" s="437"/>
      <c r="AL49" s="462"/>
      <c r="AM49" s="462"/>
      <c r="AN49" s="465"/>
    </row>
    <row r="50" spans="1:40" s="463" customFormat="1" ht="19.5" customHeight="1" outlineLevel="1" x14ac:dyDescent="0.25">
      <c r="A50" s="85"/>
      <c r="B50" s="588"/>
      <c r="C50" s="578">
        <v>2021</v>
      </c>
      <c r="D50" s="461"/>
      <c r="E50" s="450"/>
      <c r="F50" s="450"/>
      <c r="G50" s="451"/>
      <c r="H50" s="451"/>
      <c r="I50" s="451"/>
      <c r="J50" s="451"/>
      <c r="K50" s="451"/>
      <c r="L50" s="453"/>
      <c r="M50" s="453"/>
      <c r="N50" s="453"/>
      <c r="O50" s="453"/>
      <c r="P50" s="453"/>
      <c r="Q50" s="453"/>
      <c r="R50" s="453"/>
      <c r="S50" s="453"/>
      <c r="T50" s="453"/>
      <c r="U50" s="453"/>
      <c r="V50" s="565"/>
      <c r="W50" s="565"/>
      <c r="X50" s="565"/>
      <c r="Y50" s="565"/>
      <c r="Z50" s="565"/>
      <c r="AA50" s="565"/>
      <c r="AB50" s="565"/>
      <c r="AC50" s="565"/>
      <c r="AD50" s="565"/>
      <c r="AE50" s="565"/>
      <c r="AF50" s="565"/>
      <c r="AG50" s="565"/>
      <c r="AH50" s="565"/>
      <c r="AI50" s="565"/>
      <c r="AJ50" s="565"/>
      <c r="AK50" s="437"/>
      <c r="AL50" s="462"/>
      <c r="AM50" s="462"/>
      <c r="AN50" s="465"/>
    </row>
    <row r="51" spans="1:40" s="463" customFormat="1" ht="19.5" customHeight="1" outlineLevel="1" x14ac:dyDescent="0.25">
      <c r="A51" s="79" t="s">
        <v>257</v>
      </c>
      <c r="B51" s="587" t="s">
        <v>260</v>
      </c>
      <c r="C51" s="81" t="s">
        <v>261</v>
      </c>
      <c r="D51" s="461"/>
      <c r="E51" s="450"/>
      <c r="F51" s="450"/>
      <c r="G51" s="451"/>
      <c r="H51" s="451"/>
      <c r="I51" s="451"/>
      <c r="J51" s="451"/>
      <c r="K51" s="451"/>
      <c r="L51" s="453"/>
      <c r="M51" s="453"/>
      <c r="N51" s="453"/>
      <c r="O51" s="453"/>
      <c r="P51" s="453"/>
      <c r="Q51" s="453"/>
      <c r="R51" s="453"/>
      <c r="S51" s="453"/>
      <c r="T51" s="453"/>
      <c r="U51" s="453"/>
      <c r="V51" s="565"/>
      <c r="W51" s="565"/>
      <c r="X51" s="565"/>
      <c r="Y51" s="565"/>
      <c r="Z51" s="565"/>
      <c r="AA51" s="565"/>
      <c r="AB51" s="565"/>
      <c r="AC51" s="565"/>
      <c r="AD51" s="565"/>
      <c r="AE51" s="565"/>
      <c r="AF51" s="565"/>
      <c r="AG51" s="565"/>
      <c r="AH51" s="565"/>
      <c r="AI51" s="565"/>
      <c r="AJ51" s="565"/>
      <c r="AK51" s="437"/>
      <c r="AL51" s="462"/>
      <c r="AM51" s="462"/>
      <c r="AN51" s="465"/>
    </row>
    <row r="52" spans="1:40" s="463" customFormat="1" ht="19.5" customHeight="1" outlineLevel="1" x14ac:dyDescent="0.25">
      <c r="A52" s="85"/>
      <c r="B52" s="588"/>
      <c r="C52" s="606">
        <v>2022</v>
      </c>
      <c r="D52" s="461"/>
      <c r="E52" s="450"/>
      <c r="F52" s="450"/>
      <c r="G52" s="451"/>
      <c r="H52" s="451"/>
      <c r="I52" s="451"/>
      <c r="J52" s="451"/>
      <c r="K52" s="451"/>
      <c r="L52" s="453"/>
      <c r="M52" s="453"/>
      <c r="N52" s="453"/>
      <c r="O52" s="453"/>
      <c r="P52" s="453"/>
      <c r="Q52" s="453"/>
      <c r="R52" s="453"/>
      <c r="S52" s="453"/>
      <c r="T52" s="453"/>
      <c r="U52" s="453"/>
      <c r="V52" s="565"/>
      <c r="W52" s="565"/>
      <c r="X52" s="565"/>
      <c r="Y52" s="565"/>
      <c r="Z52" s="565"/>
      <c r="AA52" s="565"/>
      <c r="AB52" s="565"/>
      <c r="AC52" s="565"/>
      <c r="AD52" s="565"/>
      <c r="AE52" s="565"/>
      <c r="AF52" s="565"/>
      <c r="AG52" s="565"/>
      <c r="AH52" s="565"/>
      <c r="AI52" s="565"/>
      <c r="AJ52" s="565"/>
      <c r="AK52" s="437"/>
      <c r="AL52" s="462"/>
      <c r="AM52" s="462"/>
      <c r="AN52" s="465"/>
    </row>
    <row r="53" spans="1:40" s="463" customFormat="1" ht="35.25" customHeight="1" x14ac:dyDescent="0.25">
      <c r="A53" s="600" t="s">
        <v>205</v>
      </c>
      <c r="B53" s="589" t="s">
        <v>308</v>
      </c>
      <c r="C53" s="439" t="s">
        <v>312</v>
      </c>
      <c r="D53" s="474"/>
      <c r="E53" s="449"/>
      <c r="F53" s="449"/>
      <c r="G53" s="449"/>
      <c r="H53" s="449"/>
      <c r="I53" s="449"/>
      <c r="J53" s="449"/>
      <c r="K53" s="449"/>
      <c r="L53" s="612">
        <v>3.8999999999999998E-3</v>
      </c>
      <c r="M53" s="449"/>
      <c r="N53" s="449"/>
      <c r="O53" s="449"/>
      <c r="P53" s="449"/>
      <c r="Q53" s="449">
        <v>0.05</v>
      </c>
      <c r="R53" s="449">
        <v>0.1</v>
      </c>
      <c r="S53" s="449">
        <v>0.15</v>
      </c>
      <c r="T53" s="449">
        <v>0.25</v>
      </c>
      <c r="U53" s="449">
        <v>0.15</v>
      </c>
      <c r="V53" s="564">
        <v>0.15</v>
      </c>
      <c r="W53" s="564">
        <v>0.1</v>
      </c>
      <c r="X53" s="564">
        <v>0.05</v>
      </c>
      <c r="Y53" s="564"/>
      <c r="Z53" s="564"/>
      <c r="AA53" s="564"/>
      <c r="AB53" s="564"/>
      <c r="AC53" s="564"/>
      <c r="AD53" s="564"/>
      <c r="AE53" s="564"/>
      <c r="AF53" s="564"/>
      <c r="AG53" s="564"/>
      <c r="AH53" s="564"/>
      <c r="AI53" s="564"/>
      <c r="AJ53" s="564"/>
      <c r="AK53" s="437"/>
      <c r="AL53" s="462"/>
      <c r="AM53" s="462"/>
      <c r="AN53" s="465"/>
    </row>
    <row r="54" spans="1:40" s="463" customFormat="1" ht="32.25" customHeight="1" outlineLevel="1" x14ac:dyDescent="0.25">
      <c r="A54" s="601"/>
      <c r="B54" s="590"/>
      <c r="C54" s="578" t="s">
        <v>294</v>
      </c>
      <c r="D54" s="461" t="s">
        <v>36</v>
      </c>
      <c r="E54" s="496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V54" s="564"/>
      <c r="W54" s="564"/>
      <c r="X54" s="564"/>
      <c r="Y54" s="564"/>
      <c r="Z54" s="564"/>
      <c r="AA54" s="564"/>
      <c r="AB54" s="564"/>
      <c r="AC54" s="564"/>
      <c r="AD54" s="564"/>
      <c r="AE54" s="564"/>
      <c r="AF54" s="564"/>
      <c r="AG54" s="564"/>
      <c r="AH54" s="564"/>
      <c r="AI54" s="564"/>
      <c r="AJ54" s="564"/>
      <c r="AK54" s="437"/>
      <c r="AL54" s="462"/>
      <c r="AM54" s="462"/>
      <c r="AN54" s="465"/>
    </row>
    <row r="55" spans="1:40" s="463" customFormat="1" ht="19.5" customHeight="1" outlineLevel="1" x14ac:dyDescent="0.25">
      <c r="A55" s="602">
        <v>2</v>
      </c>
      <c r="B55" s="589" t="s">
        <v>262</v>
      </c>
      <c r="C55" s="607" t="s">
        <v>313</v>
      </c>
      <c r="D55" s="461"/>
      <c r="E55" s="509"/>
      <c r="F55" s="450"/>
      <c r="G55" s="451"/>
      <c r="H55" s="451"/>
      <c r="I55" s="451"/>
      <c r="J55" s="451"/>
      <c r="K55" s="451"/>
      <c r="L55" s="453"/>
      <c r="M55" s="451"/>
      <c r="N55" s="451"/>
      <c r="O55" s="451"/>
      <c r="P55" s="453"/>
      <c r="Q55" s="449">
        <v>0.1</v>
      </c>
      <c r="R55" s="449">
        <v>0.2</v>
      </c>
      <c r="S55" s="449">
        <v>0.3</v>
      </c>
      <c r="T55" s="449">
        <v>0.25</v>
      </c>
      <c r="U55" s="449">
        <v>0.15</v>
      </c>
      <c r="V55" s="565"/>
      <c r="W55" s="565"/>
      <c r="X55" s="565"/>
      <c r="Y55" s="565"/>
      <c r="Z55" s="565"/>
      <c r="AA55" s="565"/>
      <c r="AB55" s="565"/>
      <c r="AC55" s="565"/>
      <c r="AD55" s="565"/>
      <c r="AE55" s="565"/>
      <c r="AF55" s="565"/>
      <c r="AG55" s="565"/>
      <c r="AH55" s="565"/>
      <c r="AI55" s="565"/>
      <c r="AJ55" s="565"/>
      <c r="AK55" s="437"/>
      <c r="AL55" s="462"/>
      <c r="AM55" s="462"/>
      <c r="AN55" s="465"/>
    </row>
    <row r="56" spans="1:40" s="463" customFormat="1" ht="58.5" customHeight="1" outlineLevel="1" x14ac:dyDescent="0.25">
      <c r="A56" s="603"/>
      <c r="B56" s="590"/>
      <c r="C56" s="578">
        <v>2023</v>
      </c>
      <c r="D56" s="461" t="s">
        <v>36</v>
      </c>
      <c r="E56" s="449"/>
      <c r="F56" s="449"/>
      <c r="G56" s="449"/>
      <c r="H56" s="449"/>
      <c r="I56" s="449"/>
      <c r="J56" s="449"/>
      <c r="K56" s="449"/>
      <c r="L56" s="449"/>
      <c r="M56" s="449"/>
      <c r="N56" s="449"/>
      <c r="O56" s="449"/>
      <c r="P56" s="449"/>
      <c r="Q56" s="449"/>
      <c r="R56" s="449"/>
      <c r="S56" s="449"/>
      <c r="T56" s="449"/>
      <c r="U56" s="449"/>
      <c r="V56" s="564"/>
      <c r="W56" s="564"/>
      <c r="X56" s="564"/>
      <c r="Y56" s="564"/>
      <c r="Z56" s="564"/>
      <c r="AA56" s="564"/>
      <c r="AB56" s="564"/>
      <c r="AC56" s="564"/>
      <c r="AD56" s="564"/>
      <c r="AE56" s="564"/>
      <c r="AF56" s="564"/>
      <c r="AG56" s="564"/>
      <c r="AH56" s="564"/>
      <c r="AI56" s="564"/>
      <c r="AJ56" s="564"/>
      <c r="AK56" s="437"/>
      <c r="AL56" s="462"/>
      <c r="AM56" s="462"/>
      <c r="AN56" s="465"/>
    </row>
    <row r="57" spans="1:40" s="463" customFormat="1" ht="58.5" customHeight="1" outlineLevel="1" x14ac:dyDescent="0.25">
      <c r="A57" s="79" t="s">
        <v>195</v>
      </c>
      <c r="B57" s="521" t="s">
        <v>213</v>
      </c>
      <c r="C57" s="291"/>
      <c r="D57" s="461"/>
      <c r="E57" s="450"/>
      <c r="F57" s="450"/>
      <c r="G57" s="451"/>
      <c r="H57" s="451"/>
      <c r="I57" s="451"/>
      <c r="J57" s="451"/>
      <c r="K57" s="451"/>
      <c r="L57" s="453"/>
      <c r="M57" s="451"/>
      <c r="N57" s="451"/>
      <c r="O57" s="451"/>
      <c r="P57" s="453"/>
      <c r="Q57" s="453"/>
      <c r="R57" s="453"/>
      <c r="S57" s="453"/>
      <c r="T57" s="453"/>
      <c r="U57" s="453"/>
      <c r="V57" s="565"/>
      <c r="W57" s="565"/>
      <c r="X57" s="565"/>
      <c r="Y57" s="565"/>
      <c r="Z57" s="565"/>
      <c r="AA57" s="565"/>
      <c r="AB57" s="565"/>
      <c r="AC57" s="565"/>
      <c r="AD57" s="565"/>
      <c r="AE57" s="565"/>
      <c r="AF57" s="565"/>
      <c r="AG57" s="565"/>
      <c r="AH57" s="565"/>
      <c r="AI57" s="565"/>
      <c r="AJ57" s="565"/>
      <c r="AK57" s="437"/>
      <c r="AL57" s="462"/>
      <c r="AM57" s="462"/>
      <c r="AN57" s="465"/>
    </row>
    <row r="58" spans="1:40" s="463" customFormat="1" ht="64.5" customHeight="1" outlineLevel="1" x14ac:dyDescent="0.25">
      <c r="A58" s="82"/>
      <c r="B58" s="591"/>
      <c r="C58" s="608"/>
      <c r="D58" s="474" t="s">
        <v>36</v>
      </c>
      <c r="E58" s="449"/>
      <c r="F58" s="449"/>
      <c r="G58" s="449"/>
      <c r="H58" s="449"/>
      <c r="I58" s="449"/>
      <c r="J58" s="449"/>
      <c r="K58" s="449"/>
      <c r="L58" s="449"/>
      <c r="M58" s="449"/>
      <c r="N58" s="449"/>
      <c r="O58" s="449"/>
      <c r="P58" s="449"/>
      <c r="Q58" s="449"/>
      <c r="R58" s="449"/>
      <c r="S58" s="449"/>
      <c r="T58" s="449"/>
      <c r="U58" s="449"/>
      <c r="V58" s="564"/>
      <c r="W58" s="564"/>
      <c r="X58" s="564"/>
      <c r="Y58" s="564"/>
      <c r="Z58" s="564"/>
      <c r="AA58" s="564"/>
      <c r="AB58" s="564"/>
      <c r="AC58" s="564"/>
      <c r="AD58" s="564"/>
      <c r="AE58" s="564"/>
      <c r="AF58" s="564"/>
      <c r="AG58" s="564"/>
      <c r="AH58" s="564"/>
      <c r="AI58" s="564"/>
      <c r="AJ58" s="564"/>
      <c r="AK58" s="437"/>
      <c r="AL58" s="462"/>
      <c r="AM58" s="462"/>
      <c r="AN58" s="465"/>
    </row>
    <row r="59" spans="1:40" s="463" customFormat="1" ht="19.5" customHeight="1" outlineLevel="1" x14ac:dyDescent="0.25">
      <c r="A59" s="79" t="s">
        <v>196</v>
      </c>
      <c r="B59" s="587" t="s">
        <v>75</v>
      </c>
      <c r="C59" s="609"/>
      <c r="D59" s="461"/>
      <c r="E59" s="450"/>
      <c r="F59" s="450"/>
      <c r="G59" s="451"/>
      <c r="H59" s="451"/>
      <c r="I59" s="451"/>
      <c r="J59" s="451"/>
      <c r="K59" s="451"/>
      <c r="L59" s="451"/>
      <c r="M59" s="451"/>
      <c r="N59" s="451"/>
      <c r="O59" s="451"/>
      <c r="P59" s="451"/>
      <c r="Q59" s="451"/>
      <c r="R59" s="451"/>
      <c r="S59" s="453"/>
      <c r="T59" s="453"/>
      <c r="U59" s="453"/>
      <c r="V59" s="565"/>
      <c r="W59" s="565"/>
      <c r="X59" s="565"/>
      <c r="Y59" s="565"/>
      <c r="Z59" s="565"/>
      <c r="AA59" s="565"/>
      <c r="AB59" s="565"/>
      <c r="AC59" s="565"/>
      <c r="AD59" s="565"/>
      <c r="AE59" s="565"/>
      <c r="AF59" s="565"/>
      <c r="AG59" s="565"/>
      <c r="AH59" s="565"/>
      <c r="AI59" s="565"/>
      <c r="AJ59" s="565"/>
      <c r="AK59" s="437"/>
      <c r="AL59" s="462"/>
      <c r="AM59" s="462"/>
      <c r="AN59" s="465"/>
    </row>
    <row r="60" spans="1:40" s="463" customFormat="1" ht="19.5" customHeight="1" outlineLevel="1" x14ac:dyDescent="0.25">
      <c r="A60" s="85"/>
      <c r="B60" s="588"/>
      <c r="C60" s="608"/>
      <c r="D60" s="461" t="s">
        <v>36</v>
      </c>
      <c r="E60" s="449"/>
      <c r="F60" s="449"/>
      <c r="G60" s="449"/>
      <c r="H60" s="449"/>
      <c r="I60" s="449"/>
      <c r="J60" s="449"/>
      <c r="K60" s="449"/>
      <c r="L60" s="449"/>
      <c r="M60" s="449"/>
      <c r="N60" s="449"/>
      <c r="O60" s="449"/>
      <c r="P60" s="449"/>
      <c r="Q60" s="449"/>
      <c r="R60" s="449"/>
      <c r="S60" s="449"/>
      <c r="T60" s="449"/>
      <c r="U60" s="449"/>
      <c r="V60" s="564"/>
      <c r="W60" s="564"/>
      <c r="X60" s="564"/>
      <c r="Y60" s="564"/>
      <c r="Z60" s="564"/>
      <c r="AA60" s="564"/>
      <c r="AB60" s="564"/>
      <c r="AC60" s="564"/>
      <c r="AD60" s="564"/>
      <c r="AE60" s="564"/>
      <c r="AF60" s="564"/>
      <c r="AG60" s="564"/>
      <c r="AH60" s="564"/>
      <c r="AI60" s="564"/>
      <c r="AJ60" s="564"/>
      <c r="AK60" s="437"/>
      <c r="AL60" s="462"/>
      <c r="AM60" s="462"/>
      <c r="AN60" s="465"/>
    </row>
    <row r="61" spans="1:40" s="463" customFormat="1" ht="55.5" customHeight="1" outlineLevel="1" x14ac:dyDescent="0.25">
      <c r="A61" s="443" t="s">
        <v>197</v>
      </c>
      <c r="B61" s="435" t="s">
        <v>263</v>
      </c>
      <c r="C61" s="291"/>
      <c r="D61" s="461"/>
      <c r="E61" s="450"/>
      <c r="F61" s="450"/>
      <c r="G61" s="451"/>
      <c r="H61" s="451"/>
      <c r="I61" s="451"/>
      <c r="J61" s="451"/>
      <c r="K61" s="451"/>
      <c r="L61" s="453"/>
      <c r="M61" s="451"/>
      <c r="N61" s="451"/>
      <c r="O61" s="451"/>
      <c r="P61" s="453"/>
      <c r="Q61" s="453"/>
      <c r="R61" s="453"/>
      <c r="S61" s="453"/>
      <c r="T61" s="453"/>
      <c r="U61" s="453"/>
      <c r="V61" s="565"/>
      <c r="W61" s="565"/>
      <c r="X61" s="565"/>
      <c r="Y61" s="565"/>
      <c r="Z61" s="565"/>
      <c r="AA61" s="565"/>
      <c r="AB61" s="565"/>
      <c r="AC61" s="565"/>
      <c r="AD61" s="565"/>
      <c r="AE61" s="565"/>
      <c r="AF61" s="565"/>
      <c r="AG61" s="565"/>
      <c r="AH61" s="565"/>
      <c r="AI61" s="565"/>
      <c r="AJ61" s="565"/>
      <c r="AK61" s="437"/>
      <c r="AL61" s="462"/>
      <c r="AM61" s="462"/>
      <c r="AN61" s="465"/>
    </row>
    <row r="62" spans="1:40" s="463" customFormat="1" ht="19.5" customHeight="1" outlineLevel="1" x14ac:dyDescent="0.25">
      <c r="A62" s="598"/>
      <c r="B62" s="517"/>
      <c r="C62" s="608"/>
      <c r="D62" s="461" t="s">
        <v>36</v>
      </c>
      <c r="E62" s="449"/>
      <c r="F62" s="449"/>
      <c r="G62" s="449"/>
      <c r="H62" s="449"/>
      <c r="I62" s="449"/>
      <c r="J62" s="449"/>
      <c r="K62" s="449"/>
      <c r="L62" s="449"/>
      <c r="M62" s="449"/>
      <c r="N62" s="449"/>
      <c r="O62" s="449"/>
      <c r="P62" s="449"/>
      <c r="Q62" s="449"/>
      <c r="R62" s="449"/>
      <c r="S62" s="449"/>
      <c r="T62" s="449"/>
      <c r="U62" s="449"/>
      <c r="V62" s="564"/>
      <c r="W62" s="564"/>
      <c r="X62" s="564"/>
      <c r="Y62" s="564"/>
      <c r="Z62" s="564"/>
      <c r="AA62" s="564"/>
      <c r="AB62" s="564"/>
      <c r="AC62" s="564"/>
      <c r="AD62" s="564"/>
      <c r="AE62" s="564"/>
      <c r="AF62" s="564"/>
      <c r="AG62" s="564"/>
      <c r="AH62" s="564"/>
      <c r="AI62" s="564"/>
      <c r="AJ62" s="564"/>
      <c r="AK62" s="437"/>
      <c r="AL62" s="462"/>
      <c r="AM62" s="462"/>
      <c r="AN62" s="465"/>
    </row>
    <row r="63" spans="1:40" s="463" customFormat="1" ht="19.5" customHeight="1" outlineLevel="1" x14ac:dyDescent="0.25">
      <c r="A63" s="92" t="s">
        <v>198</v>
      </c>
      <c r="B63" s="444" t="s">
        <v>264</v>
      </c>
      <c r="C63" s="291"/>
      <c r="D63" s="475"/>
      <c r="E63" s="450"/>
      <c r="F63" s="450"/>
      <c r="G63" s="451"/>
      <c r="H63" s="451"/>
      <c r="I63" s="451"/>
      <c r="J63" s="451"/>
      <c r="K63" s="451"/>
      <c r="L63" s="453"/>
      <c r="M63" s="451"/>
      <c r="N63" s="451"/>
      <c r="O63" s="451"/>
      <c r="P63" s="453"/>
      <c r="Q63" s="453"/>
      <c r="R63" s="453"/>
      <c r="S63" s="453"/>
      <c r="T63" s="453"/>
      <c r="U63" s="453"/>
      <c r="V63" s="565"/>
      <c r="W63" s="565"/>
      <c r="X63" s="565"/>
      <c r="Y63" s="565"/>
      <c r="Z63" s="565"/>
      <c r="AA63" s="565"/>
      <c r="AB63" s="565"/>
      <c r="AC63" s="565"/>
      <c r="AD63" s="565"/>
      <c r="AE63" s="565"/>
      <c r="AF63" s="565"/>
      <c r="AG63" s="565"/>
      <c r="AH63" s="565"/>
      <c r="AI63" s="565"/>
      <c r="AJ63" s="565"/>
      <c r="AK63" s="437"/>
      <c r="AL63" s="462"/>
      <c r="AM63" s="462"/>
      <c r="AN63" s="465"/>
    </row>
    <row r="64" spans="1:40" s="463" customFormat="1" ht="19.5" customHeight="1" outlineLevel="1" x14ac:dyDescent="0.25">
      <c r="A64" s="94"/>
      <c r="B64" s="444"/>
      <c r="C64" s="608"/>
      <c r="D64" s="461" t="s">
        <v>36</v>
      </c>
      <c r="E64" s="449"/>
      <c r="F64" s="449"/>
      <c r="G64" s="449"/>
      <c r="H64" s="449"/>
      <c r="I64" s="449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49"/>
      <c r="U64" s="449"/>
      <c r="V64" s="564"/>
      <c r="W64" s="564"/>
      <c r="X64" s="564"/>
      <c r="Y64" s="564"/>
      <c r="Z64" s="564"/>
      <c r="AA64" s="564"/>
      <c r="AB64" s="564"/>
      <c r="AC64" s="564"/>
      <c r="AD64" s="564"/>
      <c r="AE64" s="564"/>
      <c r="AF64" s="564"/>
      <c r="AG64" s="564"/>
      <c r="AH64" s="564"/>
      <c r="AI64" s="564"/>
      <c r="AJ64" s="564"/>
      <c r="AK64" s="437"/>
      <c r="AL64" s="462"/>
      <c r="AM64" s="462"/>
      <c r="AN64" s="465"/>
    </row>
    <row r="65" spans="1:40" s="463" customFormat="1" ht="19.5" customHeight="1" outlineLevel="1" x14ac:dyDescent="0.25">
      <c r="A65" s="443" t="s">
        <v>199</v>
      </c>
      <c r="B65" s="592" t="s">
        <v>265</v>
      </c>
      <c r="C65" s="610"/>
      <c r="D65" s="475"/>
      <c r="E65" s="450"/>
      <c r="F65" s="450"/>
      <c r="G65" s="451"/>
      <c r="H65" s="451"/>
      <c r="I65" s="451"/>
      <c r="J65" s="451"/>
      <c r="K65" s="451"/>
      <c r="L65" s="453"/>
      <c r="M65" s="451"/>
      <c r="N65" s="451"/>
      <c r="O65" s="451"/>
      <c r="P65" s="453"/>
      <c r="Q65" s="453"/>
      <c r="R65" s="453"/>
      <c r="S65" s="453"/>
      <c r="T65" s="453"/>
      <c r="U65" s="453"/>
      <c r="V65" s="565"/>
      <c r="W65" s="565"/>
      <c r="X65" s="565"/>
      <c r="Y65" s="565"/>
      <c r="Z65" s="565"/>
      <c r="AA65" s="565"/>
      <c r="AB65" s="565"/>
      <c r="AC65" s="565"/>
      <c r="AD65" s="565"/>
      <c r="AE65" s="565"/>
      <c r="AF65" s="565"/>
      <c r="AG65" s="565"/>
      <c r="AH65" s="565"/>
      <c r="AI65" s="565"/>
      <c r="AJ65" s="565"/>
      <c r="AK65" s="437"/>
      <c r="AL65" s="462"/>
      <c r="AM65" s="462"/>
      <c r="AN65" s="465"/>
    </row>
    <row r="66" spans="1:40" s="463" customFormat="1" ht="19.5" customHeight="1" outlineLevel="1" x14ac:dyDescent="0.25">
      <c r="A66" s="443"/>
      <c r="B66" s="593"/>
      <c r="C66" s="608"/>
      <c r="D66" s="461" t="s">
        <v>36</v>
      </c>
      <c r="E66" s="449"/>
      <c r="F66" s="449"/>
      <c r="G66" s="449"/>
      <c r="H66" s="449"/>
      <c r="I66" s="449"/>
      <c r="J66" s="449"/>
      <c r="K66" s="449"/>
      <c r="L66" s="449"/>
      <c r="M66" s="449"/>
      <c r="N66" s="449"/>
      <c r="O66" s="449"/>
      <c r="P66" s="449"/>
      <c r="Q66" s="449"/>
      <c r="R66" s="449"/>
      <c r="S66" s="449"/>
      <c r="T66" s="449"/>
      <c r="U66" s="449"/>
      <c r="V66" s="564"/>
      <c r="W66" s="564"/>
      <c r="X66" s="564"/>
      <c r="Y66" s="564"/>
      <c r="Z66" s="564"/>
      <c r="AA66" s="564"/>
      <c r="AB66" s="564"/>
      <c r="AC66" s="564"/>
      <c r="AD66" s="564"/>
      <c r="AE66" s="564"/>
      <c r="AF66" s="564"/>
      <c r="AG66" s="564"/>
      <c r="AH66" s="564"/>
      <c r="AI66" s="564"/>
      <c r="AJ66" s="564"/>
      <c r="AK66" s="437"/>
      <c r="AL66" s="462"/>
      <c r="AM66" s="462"/>
      <c r="AN66" s="465"/>
    </row>
    <row r="67" spans="1:40" s="463" customFormat="1" ht="19.5" customHeight="1" outlineLevel="1" x14ac:dyDescent="0.25">
      <c r="A67" s="92" t="s">
        <v>200</v>
      </c>
      <c r="B67" s="592" t="s">
        <v>266</v>
      </c>
      <c r="C67" s="610"/>
      <c r="D67" s="461"/>
      <c r="E67" s="450"/>
      <c r="F67" s="450"/>
      <c r="G67" s="451"/>
      <c r="H67" s="451"/>
      <c r="I67" s="451"/>
      <c r="J67" s="451"/>
      <c r="K67" s="451"/>
      <c r="L67" s="453"/>
      <c r="M67" s="453"/>
      <c r="N67" s="453"/>
      <c r="O67" s="451"/>
      <c r="P67" s="451"/>
      <c r="Q67" s="451"/>
      <c r="R67" s="453"/>
      <c r="S67" s="453"/>
      <c r="T67" s="453"/>
      <c r="U67" s="453"/>
      <c r="V67" s="565"/>
      <c r="W67" s="565"/>
      <c r="X67" s="565"/>
      <c r="Y67" s="565"/>
      <c r="Z67" s="565"/>
      <c r="AA67" s="565"/>
      <c r="AB67" s="565"/>
      <c r="AC67" s="565"/>
      <c r="AD67" s="565"/>
      <c r="AE67" s="565"/>
      <c r="AF67" s="565"/>
      <c r="AG67" s="565"/>
      <c r="AH67" s="565"/>
      <c r="AI67" s="565"/>
      <c r="AJ67" s="565"/>
      <c r="AK67" s="437"/>
      <c r="AL67" s="462"/>
      <c r="AM67" s="462"/>
      <c r="AN67" s="465"/>
    </row>
    <row r="68" spans="1:40" s="463" customFormat="1" ht="19.5" customHeight="1" outlineLevel="1" x14ac:dyDescent="0.25">
      <c r="A68" s="82"/>
      <c r="B68" s="593"/>
      <c r="C68" s="608"/>
      <c r="D68" s="461" t="s">
        <v>36</v>
      </c>
      <c r="E68" s="449"/>
      <c r="F68" s="449"/>
      <c r="G68" s="449"/>
      <c r="H68" s="449"/>
      <c r="I68" s="449"/>
      <c r="J68" s="449"/>
      <c r="K68" s="449"/>
      <c r="L68" s="449"/>
      <c r="M68" s="449"/>
      <c r="N68" s="449"/>
      <c r="O68" s="449"/>
      <c r="P68" s="449"/>
      <c r="Q68" s="449"/>
      <c r="R68" s="449"/>
      <c r="S68" s="449"/>
      <c r="T68" s="449"/>
      <c r="U68" s="449"/>
      <c r="V68" s="564"/>
      <c r="W68" s="564"/>
      <c r="X68" s="564"/>
      <c r="Y68" s="564"/>
      <c r="Z68" s="564"/>
      <c r="AA68" s="564"/>
      <c r="AB68" s="564"/>
      <c r="AC68" s="564"/>
      <c r="AD68" s="564"/>
      <c r="AE68" s="564"/>
      <c r="AF68" s="564"/>
      <c r="AG68" s="564"/>
      <c r="AH68" s="564"/>
      <c r="AI68" s="564"/>
      <c r="AJ68" s="564"/>
      <c r="AK68" s="437"/>
      <c r="AL68" s="462"/>
      <c r="AM68" s="462"/>
      <c r="AN68" s="465"/>
    </row>
    <row r="69" spans="1:40" s="463" customFormat="1" ht="19.5" customHeight="1" outlineLevel="1" x14ac:dyDescent="0.25">
      <c r="A69" s="598" t="s">
        <v>201</v>
      </c>
      <c r="B69" s="587" t="s">
        <v>267</v>
      </c>
      <c r="C69" s="610"/>
      <c r="D69" s="461"/>
      <c r="E69" s="450"/>
      <c r="F69" s="450"/>
      <c r="G69" s="451"/>
      <c r="H69" s="451"/>
      <c r="I69" s="451"/>
      <c r="J69" s="451"/>
      <c r="K69" s="451"/>
      <c r="L69" s="453"/>
      <c r="M69" s="453"/>
      <c r="N69" s="453"/>
      <c r="O69" s="453"/>
      <c r="P69" s="453"/>
      <c r="Q69" s="451"/>
      <c r="R69" s="451"/>
      <c r="S69" s="453"/>
      <c r="T69" s="453"/>
      <c r="U69" s="453"/>
      <c r="V69" s="565"/>
      <c r="W69" s="565"/>
      <c r="X69" s="565"/>
      <c r="Y69" s="565"/>
      <c r="Z69" s="565"/>
      <c r="AA69" s="565"/>
      <c r="AB69" s="565"/>
      <c r="AC69" s="565"/>
      <c r="AD69" s="565"/>
      <c r="AE69" s="565"/>
      <c r="AF69" s="565"/>
      <c r="AG69" s="565"/>
      <c r="AH69" s="565"/>
      <c r="AI69" s="565"/>
      <c r="AJ69" s="565"/>
      <c r="AK69" s="437"/>
      <c r="AL69" s="462"/>
      <c r="AM69" s="462"/>
      <c r="AN69" s="465"/>
    </row>
    <row r="70" spans="1:40" s="463" customFormat="1" ht="19.5" customHeight="1" outlineLevel="1" x14ac:dyDescent="0.25">
      <c r="A70" s="82"/>
      <c r="B70" s="588"/>
      <c r="C70" s="608"/>
      <c r="D70" s="461" t="s">
        <v>36</v>
      </c>
      <c r="E70" s="449"/>
      <c r="F70" s="449"/>
      <c r="G70" s="449"/>
      <c r="H70" s="449"/>
      <c r="I70" s="449"/>
      <c r="J70" s="449"/>
      <c r="K70" s="449"/>
      <c r="L70" s="449"/>
      <c r="M70" s="449"/>
      <c r="N70" s="449"/>
      <c r="O70" s="449"/>
      <c r="P70" s="449"/>
      <c r="Q70" s="449"/>
      <c r="R70" s="449"/>
      <c r="S70" s="449"/>
      <c r="T70" s="449"/>
      <c r="U70" s="449"/>
      <c r="V70" s="564"/>
      <c r="W70" s="564"/>
      <c r="X70" s="564"/>
      <c r="Y70" s="564"/>
      <c r="Z70" s="564"/>
      <c r="AA70" s="564"/>
      <c r="AB70" s="564"/>
      <c r="AC70" s="564"/>
      <c r="AD70" s="564"/>
      <c r="AE70" s="564"/>
      <c r="AF70" s="564"/>
      <c r="AG70" s="564"/>
      <c r="AH70" s="564"/>
      <c r="AI70" s="564"/>
      <c r="AJ70" s="564"/>
      <c r="AK70" s="437"/>
      <c r="AL70" s="462"/>
      <c r="AM70" s="462"/>
      <c r="AN70" s="465"/>
    </row>
    <row r="71" spans="1:40" s="463" customFormat="1" ht="19.5" customHeight="1" outlineLevel="1" x14ac:dyDescent="0.25">
      <c r="A71" s="79" t="s">
        <v>202</v>
      </c>
      <c r="B71" s="587" t="s">
        <v>268</v>
      </c>
      <c r="C71" s="610"/>
      <c r="D71" s="461"/>
      <c r="E71" s="450"/>
      <c r="F71" s="450"/>
      <c r="G71" s="451"/>
      <c r="H71" s="451"/>
      <c r="I71" s="451"/>
      <c r="J71" s="451"/>
      <c r="K71" s="451"/>
      <c r="L71" s="453"/>
      <c r="M71" s="453"/>
      <c r="N71" s="453"/>
      <c r="O71" s="453"/>
      <c r="P71" s="453"/>
      <c r="Q71" s="451"/>
      <c r="R71" s="451"/>
      <c r="S71" s="453"/>
      <c r="T71" s="453"/>
      <c r="U71" s="453"/>
      <c r="V71" s="565"/>
      <c r="W71" s="565"/>
      <c r="X71" s="565"/>
      <c r="Y71" s="565"/>
      <c r="Z71" s="565"/>
      <c r="AA71" s="565"/>
      <c r="AB71" s="565"/>
      <c r="AC71" s="565"/>
      <c r="AD71" s="565"/>
      <c r="AE71" s="565"/>
      <c r="AF71" s="565"/>
      <c r="AG71" s="565"/>
      <c r="AH71" s="565"/>
      <c r="AI71" s="565"/>
      <c r="AJ71" s="565"/>
      <c r="AK71" s="437"/>
      <c r="AL71" s="462"/>
      <c r="AM71" s="462"/>
      <c r="AN71" s="465"/>
    </row>
    <row r="72" spans="1:40" s="463" customFormat="1" ht="19.5" customHeight="1" outlineLevel="1" x14ac:dyDescent="0.25">
      <c r="A72" s="82"/>
      <c r="B72" s="588"/>
      <c r="C72" s="608"/>
      <c r="D72" s="461" t="s">
        <v>36</v>
      </c>
      <c r="E72" s="449"/>
      <c r="F72" s="449"/>
      <c r="G72" s="449"/>
      <c r="H72" s="449"/>
      <c r="I72" s="449"/>
      <c r="J72" s="449"/>
      <c r="K72" s="449"/>
      <c r="L72" s="449"/>
      <c r="M72" s="449"/>
      <c r="N72" s="449"/>
      <c r="O72" s="449"/>
      <c r="P72" s="449"/>
      <c r="Q72" s="449"/>
      <c r="R72" s="449"/>
      <c r="S72" s="449"/>
      <c r="T72" s="449"/>
      <c r="U72" s="449"/>
      <c r="V72" s="564"/>
      <c r="W72" s="564"/>
      <c r="X72" s="564"/>
      <c r="Y72" s="564"/>
      <c r="Z72" s="564"/>
      <c r="AA72" s="564"/>
      <c r="AB72" s="564"/>
      <c r="AC72" s="564"/>
      <c r="AD72" s="564"/>
      <c r="AE72" s="564"/>
      <c r="AF72" s="564"/>
      <c r="AG72" s="564"/>
      <c r="AH72" s="564"/>
      <c r="AI72" s="564"/>
      <c r="AJ72" s="564"/>
      <c r="AK72" s="437"/>
      <c r="AL72" s="462"/>
      <c r="AM72" s="462"/>
      <c r="AN72" s="465"/>
    </row>
    <row r="73" spans="1:40" s="463" customFormat="1" ht="19.5" customHeight="1" outlineLevel="1" x14ac:dyDescent="0.25">
      <c r="A73" s="79" t="s">
        <v>269</v>
      </c>
      <c r="B73" s="587" t="s">
        <v>270</v>
      </c>
      <c r="C73" s="610"/>
      <c r="D73" s="461"/>
      <c r="E73" s="450"/>
      <c r="F73" s="450"/>
      <c r="G73" s="451"/>
      <c r="H73" s="451"/>
      <c r="I73" s="451"/>
      <c r="J73" s="451"/>
      <c r="K73" s="451"/>
      <c r="L73" s="453"/>
      <c r="M73" s="453"/>
      <c r="N73" s="453"/>
      <c r="O73" s="453"/>
      <c r="P73" s="453"/>
      <c r="Q73" s="451"/>
      <c r="R73" s="453"/>
      <c r="S73" s="453"/>
      <c r="T73" s="453"/>
      <c r="U73" s="453"/>
      <c r="V73" s="565"/>
      <c r="W73" s="565"/>
      <c r="X73" s="565"/>
      <c r="Y73" s="565"/>
      <c r="Z73" s="565"/>
      <c r="AA73" s="565"/>
      <c r="AB73" s="565"/>
      <c r="AC73" s="565"/>
      <c r="AD73" s="565"/>
      <c r="AE73" s="565"/>
      <c r="AF73" s="565"/>
      <c r="AG73" s="565"/>
      <c r="AH73" s="565"/>
      <c r="AI73" s="565"/>
      <c r="AJ73" s="565"/>
      <c r="AK73" s="437"/>
      <c r="AL73" s="462"/>
      <c r="AM73" s="462"/>
      <c r="AN73" s="465"/>
    </row>
    <row r="74" spans="1:40" s="463" customFormat="1" ht="78" customHeight="1" x14ac:dyDescent="0.25">
      <c r="A74" s="82"/>
      <c r="B74" s="588"/>
      <c r="C74" s="608"/>
      <c r="D74" s="474"/>
      <c r="E74" s="449"/>
      <c r="F74" s="449"/>
      <c r="G74" s="449"/>
      <c r="H74" s="449"/>
      <c r="I74" s="449"/>
      <c r="J74" s="449"/>
      <c r="K74" s="449"/>
      <c r="L74" s="449"/>
      <c r="M74" s="449"/>
      <c r="N74" s="449"/>
      <c r="O74" s="449"/>
      <c r="P74" s="449"/>
      <c r="Q74" s="449"/>
      <c r="R74" s="449"/>
      <c r="S74" s="449"/>
      <c r="T74" s="449"/>
      <c r="U74" s="449"/>
      <c r="V74" s="564"/>
      <c r="W74" s="564"/>
      <c r="X74" s="564"/>
      <c r="Y74" s="564"/>
      <c r="Z74" s="564"/>
      <c r="AA74" s="564"/>
      <c r="AB74" s="564"/>
      <c r="AC74" s="564"/>
      <c r="AD74" s="564"/>
      <c r="AE74" s="564"/>
      <c r="AF74" s="564"/>
      <c r="AG74" s="564"/>
      <c r="AH74" s="564"/>
      <c r="AI74" s="564"/>
      <c r="AJ74" s="564"/>
      <c r="AK74" s="437"/>
      <c r="AL74" s="462"/>
      <c r="AM74" s="462"/>
      <c r="AN74" s="465"/>
    </row>
    <row r="75" spans="1:40" s="463" customFormat="1" ht="72" customHeight="1" outlineLevel="1" x14ac:dyDescent="0.25">
      <c r="A75" s="79" t="s">
        <v>271</v>
      </c>
      <c r="B75" s="587" t="s">
        <v>272</v>
      </c>
      <c r="C75" s="609"/>
      <c r="D75" s="461" t="s">
        <v>36</v>
      </c>
      <c r="E75" s="449"/>
      <c r="F75" s="449"/>
      <c r="G75" s="449"/>
      <c r="H75" s="449"/>
      <c r="I75" s="449"/>
      <c r="J75" s="449"/>
      <c r="K75" s="449"/>
      <c r="L75" s="449"/>
      <c r="M75" s="449"/>
      <c r="N75" s="449"/>
      <c r="O75" s="449"/>
      <c r="P75" s="449"/>
      <c r="Q75" s="449"/>
      <c r="R75" s="449"/>
      <c r="S75" s="449"/>
      <c r="T75" s="449"/>
      <c r="U75" s="449"/>
      <c r="V75" s="564"/>
      <c r="W75" s="564"/>
      <c r="X75" s="564"/>
      <c r="Y75" s="564"/>
      <c r="Z75" s="564"/>
      <c r="AA75" s="564"/>
      <c r="AB75" s="564"/>
      <c r="AC75" s="564"/>
      <c r="AD75" s="564"/>
      <c r="AE75" s="564"/>
      <c r="AF75" s="564"/>
      <c r="AG75" s="564"/>
      <c r="AH75" s="564"/>
      <c r="AI75" s="564"/>
      <c r="AJ75" s="564"/>
      <c r="AK75" s="437"/>
      <c r="AL75" s="462"/>
      <c r="AM75" s="462"/>
      <c r="AN75" s="465"/>
    </row>
    <row r="76" spans="1:40" s="463" customFormat="1" ht="19.5" customHeight="1" outlineLevel="1" x14ac:dyDescent="0.25">
      <c r="A76" s="85"/>
      <c r="B76" s="588"/>
      <c r="C76" s="608"/>
      <c r="D76" s="461"/>
      <c r="E76" s="450"/>
      <c r="F76" s="450"/>
      <c r="G76" s="451"/>
      <c r="H76" s="451"/>
      <c r="I76" s="451"/>
      <c r="J76" s="451"/>
      <c r="K76" s="451"/>
      <c r="L76" s="453"/>
      <c r="M76" s="451"/>
      <c r="N76" s="451"/>
      <c r="O76" s="451"/>
      <c r="P76" s="453"/>
      <c r="Q76" s="453"/>
      <c r="R76" s="453"/>
      <c r="S76" s="453"/>
      <c r="T76" s="453"/>
      <c r="U76" s="453"/>
      <c r="V76" s="565"/>
      <c r="W76" s="565"/>
      <c r="X76" s="565"/>
      <c r="Y76" s="565"/>
      <c r="Z76" s="565"/>
      <c r="AA76" s="565"/>
      <c r="AB76" s="565"/>
      <c r="AC76" s="565"/>
      <c r="AD76" s="565"/>
      <c r="AE76" s="565"/>
      <c r="AF76" s="565"/>
      <c r="AG76" s="565"/>
      <c r="AH76" s="565"/>
      <c r="AI76" s="565"/>
      <c r="AJ76" s="565"/>
      <c r="AK76" s="437"/>
      <c r="AL76" s="462"/>
      <c r="AM76" s="462"/>
      <c r="AN76" s="465"/>
    </row>
    <row r="77" spans="1:40" s="463" customFormat="1" ht="19.5" customHeight="1" outlineLevel="1" x14ac:dyDescent="0.25">
      <c r="A77" s="602">
        <v>3</v>
      </c>
      <c r="B77" s="589" t="s">
        <v>273</v>
      </c>
      <c r="C77" s="607" t="s">
        <v>314</v>
      </c>
      <c r="D77" s="461" t="s">
        <v>36</v>
      </c>
      <c r="E77" s="449"/>
      <c r="F77" s="449"/>
      <c r="G77" s="449"/>
      <c r="H77" s="449"/>
      <c r="I77" s="449"/>
      <c r="J77" s="449"/>
      <c r="K77" s="449"/>
      <c r="L77" s="449"/>
      <c r="M77" s="449"/>
      <c r="N77" s="449"/>
      <c r="O77" s="449"/>
      <c r="P77" s="449"/>
      <c r="Q77" s="449">
        <v>0.1</v>
      </c>
      <c r="R77" s="449">
        <v>0.2</v>
      </c>
      <c r="S77" s="449">
        <v>0.3</v>
      </c>
      <c r="T77" s="449">
        <v>0.25</v>
      </c>
      <c r="U77" s="449">
        <v>0.15</v>
      </c>
      <c r="V77" s="564"/>
      <c r="W77" s="564"/>
      <c r="X77" s="564"/>
      <c r="Y77" s="564"/>
      <c r="Z77" s="564"/>
      <c r="AA77" s="564"/>
      <c r="AB77" s="564"/>
      <c r="AC77" s="564"/>
      <c r="AD77" s="564"/>
      <c r="AE77" s="564"/>
      <c r="AF77" s="564"/>
      <c r="AG77" s="564"/>
      <c r="AH77" s="564"/>
      <c r="AI77" s="564"/>
      <c r="AJ77" s="564"/>
      <c r="AK77" s="437"/>
      <c r="AL77" s="462"/>
      <c r="AM77" s="462"/>
      <c r="AN77" s="465"/>
    </row>
    <row r="78" spans="1:40" s="463" customFormat="1" ht="37.5" customHeight="1" outlineLevel="1" x14ac:dyDescent="0.25">
      <c r="A78" s="603"/>
      <c r="B78" s="590"/>
      <c r="C78" s="611">
        <v>2023</v>
      </c>
      <c r="D78" s="461"/>
      <c r="E78" s="450"/>
      <c r="F78" s="450"/>
      <c r="G78" s="451"/>
      <c r="H78" s="451"/>
      <c r="I78" s="451"/>
      <c r="J78" s="451"/>
      <c r="K78" s="451"/>
      <c r="L78" s="453"/>
      <c r="M78" s="451"/>
      <c r="N78" s="451"/>
      <c r="O78" s="451"/>
      <c r="P78" s="453"/>
      <c r="Q78" s="453"/>
      <c r="R78" s="453"/>
      <c r="S78" s="453"/>
      <c r="T78" s="453"/>
      <c r="U78" s="453"/>
      <c r="V78" s="565"/>
      <c r="W78" s="565"/>
      <c r="X78" s="565"/>
      <c r="Y78" s="565"/>
      <c r="Z78" s="565"/>
      <c r="AA78" s="565"/>
      <c r="AB78" s="565"/>
      <c r="AC78" s="565"/>
      <c r="AD78" s="565"/>
      <c r="AE78" s="565"/>
      <c r="AF78" s="565"/>
      <c r="AG78" s="565"/>
      <c r="AH78" s="565"/>
      <c r="AI78" s="565"/>
      <c r="AJ78" s="565"/>
      <c r="AK78" s="437"/>
      <c r="AL78" s="462"/>
      <c r="AM78" s="462"/>
      <c r="AN78" s="465"/>
    </row>
    <row r="79" spans="1:40" s="463" customFormat="1" ht="66" customHeight="1" outlineLevel="1" x14ac:dyDescent="0.25">
      <c r="A79" s="79" t="s">
        <v>274</v>
      </c>
      <c r="B79" s="521" t="s">
        <v>213</v>
      </c>
      <c r="C79" s="291"/>
      <c r="D79" s="461" t="s">
        <v>36</v>
      </c>
      <c r="E79" s="449"/>
      <c r="F79" s="449"/>
      <c r="G79" s="449"/>
      <c r="H79" s="449"/>
      <c r="I79" s="449"/>
      <c r="J79" s="449"/>
      <c r="K79" s="449"/>
      <c r="L79" s="449"/>
      <c r="M79" s="449"/>
      <c r="N79" s="449"/>
      <c r="O79" s="449"/>
      <c r="P79" s="449"/>
      <c r="Q79" s="449"/>
      <c r="R79" s="449"/>
      <c r="S79" s="449"/>
      <c r="T79" s="449"/>
      <c r="U79" s="449"/>
      <c r="V79" s="564"/>
      <c r="W79" s="564"/>
      <c r="X79" s="564"/>
      <c r="Y79" s="564"/>
      <c r="Z79" s="564"/>
      <c r="AA79" s="564"/>
      <c r="AB79" s="564"/>
      <c r="AC79" s="564"/>
      <c r="AD79" s="564"/>
      <c r="AE79" s="564"/>
      <c r="AF79" s="564"/>
      <c r="AG79" s="564"/>
      <c r="AH79" s="564"/>
      <c r="AI79" s="564"/>
      <c r="AJ79" s="564"/>
      <c r="AK79" s="437"/>
      <c r="AL79" s="462"/>
      <c r="AM79" s="462"/>
      <c r="AN79" s="465"/>
    </row>
    <row r="80" spans="1:40" s="463" customFormat="1" ht="19.5" customHeight="1" outlineLevel="1" x14ac:dyDescent="0.25">
      <c r="A80" s="82"/>
      <c r="B80" s="591"/>
      <c r="C80" s="608"/>
      <c r="D80" s="461"/>
      <c r="E80" s="450"/>
      <c r="F80" s="450"/>
      <c r="G80" s="451"/>
      <c r="H80" s="451"/>
      <c r="I80" s="451"/>
      <c r="J80" s="451"/>
      <c r="K80" s="451"/>
      <c r="L80" s="453"/>
      <c r="M80" s="451"/>
      <c r="N80" s="451"/>
      <c r="O80" s="451"/>
      <c r="P80" s="453"/>
      <c r="Q80" s="453"/>
      <c r="R80" s="453"/>
      <c r="S80" s="453"/>
      <c r="T80" s="453"/>
      <c r="U80" s="453"/>
      <c r="V80" s="565"/>
      <c r="W80" s="565"/>
      <c r="X80" s="565"/>
      <c r="Y80" s="565"/>
      <c r="Z80" s="565"/>
      <c r="AA80" s="565"/>
      <c r="AB80" s="565"/>
      <c r="AC80" s="565"/>
      <c r="AD80" s="565"/>
      <c r="AE80" s="565"/>
      <c r="AF80" s="565"/>
      <c r="AG80" s="565"/>
      <c r="AH80" s="565"/>
      <c r="AI80" s="565"/>
      <c r="AJ80" s="565"/>
      <c r="AK80" s="437"/>
      <c r="AL80" s="462"/>
      <c r="AM80" s="462"/>
      <c r="AN80" s="465"/>
    </row>
    <row r="81" spans="1:40" s="463" customFormat="1" ht="53.25" customHeight="1" outlineLevel="1" x14ac:dyDescent="0.25">
      <c r="A81" s="79" t="s">
        <v>275</v>
      </c>
      <c r="B81" s="587" t="s">
        <v>75</v>
      </c>
      <c r="C81" s="609"/>
      <c r="D81" s="474" t="s">
        <v>36</v>
      </c>
      <c r="E81" s="449"/>
      <c r="F81" s="449"/>
      <c r="G81" s="449"/>
      <c r="H81" s="449"/>
      <c r="I81" s="449"/>
      <c r="J81" s="449"/>
      <c r="K81" s="449"/>
      <c r="L81" s="449"/>
      <c r="M81" s="449"/>
      <c r="N81" s="449"/>
      <c r="O81" s="449"/>
      <c r="P81" s="449"/>
      <c r="Q81" s="449"/>
      <c r="R81" s="449"/>
      <c r="S81" s="449"/>
      <c r="T81" s="449"/>
      <c r="U81" s="449"/>
      <c r="V81" s="564"/>
      <c r="W81" s="564"/>
      <c r="X81" s="564"/>
      <c r="Y81" s="564"/>
      <c r="Z81" s="564"/>
      <c r="AA81" s="564"/>
      <c r="AB81" s="564"/>
      <c r="AC81" s="564"/>
      <c r="AD81" s="564"/>
      <c r="AE81" s="564"/>
      <c r="AF81" s="564"/>
      <c r="AG81" s="564"/>
      <c r="AH81" s="564"/>
      <c r="AI81" s="564"/>
      <c r="AJ81" s="564"/>
      <c r="AK81" s="437"/>
      <c r="AL81" s="462"/>
      <c r="AM81" s="462"/>
      <c r="AN81" s="465"/>
    </row>
    <row r="82" spans="1:40" s="463" customFormat="1" ht="23.25" customHeight="1" outlineLevel="1" x14ac:dyDescent="0.25">
      <c r="A82" s="85"/>
      <c r="B82" s="588"/>
      <c r="C82" s="608"/>
      <c r="D82" s="461"/>
      <c r="E82" s="450"/>
      <c r="F82" s="450"/>
      <c r="G82" s="451"/>
      <c r="H82" s="451"/>
      <c r="I82" s="451"/>
      <c r="J82" s="451"/>
      <c r="K82" s="451"/>
      <c r="L82" s="451"/>
      <c r="M82" s="451"/>
      <c r="N82" s="451"/>
      <c r="O82" s="451"/>
      <c r="P82" s="451"/>
      <c r="Q82" s="451"/>
      <c r="R82" s="453"/>
      <c r="S82" s="453"/>
      <c r="T82" s="453"/>
      <c r="U82" s="453"/>
      <c r="V82" s="565"/>
      <c r="W82" s="565"/>
      <c r="X82" s="565"/>
      <c r="Y82" s="565"/>
      <c r="Z82" s="565"/>
      <c r="AA82" s="565"/>
      <c r="AB82" s="565"/>
      <c r="AC82" s="565"/>
      <c r="AD82" s="565"/>
      <c r="AE82" s="565"/>
      <c r="AF82" s="565"/>
      <c r="AG82" s="565"/>
      <c r="AH82" s="565"/>
      <c r="AI82" s="565"/>
      <c r="AJ82" s="565"/>
      <c r="AK82" s="437"/>
      <c r="AL82" s="462"/>
      <c r="AM82" s="462"/>
      <c r="AN82" s="465"/>
    </row>
    <row r="83" spans="1:40" s="463" customFormat="1" ht="27" customHeight="1" outlineLevel="1" x14ac:dyDescent="0.25">
      <c r="A83" s="79" t="s">
        <v>276</v>
      </c>
      <c r="B83" s="587" t="s">
        <v>277</v>
      </c>
      <c r="C83" s="609"/>
      <c r="D83" s="461" t="s">
        <v>36</v>
      </c>
      <c r="E83" s="449"/>
      <c r="F83" s="449"/>
      <c r="G83" s="449"/>
      <c r="H83" s="449"/>
      <c r="I83" s="449"/>
      <c r="J83" s="449"/>
      <c r="K83" s="449"/>
      <c r="L83" s="449"/>
      <c r="M83" s="449"/>
      <c r="N83" s="449"/>
      <c r="O83" s="449"/>
      <c r="P83" s="449"/>
      <c r="Q83" s="449"/>
      <c r="R83" s="449"/>
      <c r="S83" s="449"/>
      <c r="T83" s="449"/>
      <c r="U83" s="449"/>
      <c r="V83" s="564"/>
      <c r="W83" s="564"/>
      <c r="X83" s="564"/>
      <c r="Y83" s="564"/>
      <c r="Z83" s="564"/>
      <c r="AA83" s="564"/>
      <c r="AB83" s="564"/>
      <c r="AC83" s="564"/>
      <c r="AD83" s="564"/>
      <c r="AE83" s="564"/>
      <c r="AF83" s="564"/>
      <c r="AG83" s="564"/>
      <c r="AH83" s="564"/>
      <c r="AI83" s="564"/>
      <c r="AJ83" s="564"/>
      <c r="AK83" s="437"/>
      <c r="AL83" s="462"/>
      <c r="AM83" s="462"/>
      <c r="AN83" s="465"/>
    </row>
    <row r="84" spans="1:40" s="463" customFormat="1" ht="19.5" customHeight="1" outlineLevel="1" x14ac:dyDescent="0.25">
      <c r="A84" s="85"/>
      <c r="B84" s="588"/>
      <c r="C84" s="608"/>
      <c r="D84" s="461"/>
      <c r="E84" s="450"/>
      <c r="F84" s="450"/>
      <c r="G84" s="451"/>
      <c r="H84" s="451"/>
      <c r="I84" s="451"/>
      <c r="J84" s="451"/>
      <c r="K84" s="451"/>
      <c r="L84" s="451"/>
      <c r="M84" s="451"/>
      <c r="N84" s="451"/>
      <c r="O84" s="451"/>
      <c r="P84" s="451"/>
      <c r="Q84" s="451"/>
      <c r="R84" s="453"/>
      <c r="S84" s="453"/>
      <c r="T84" s="453"/>
      <c r="U84" s="453"/>
      <c r="V84" s="565"/>
      <c r="W84" s="565"/>
      <c r="X84" s="565"/>
      <c r="Y84" s="565"/>
      <c r="Z84" s="565"/>
      <c r="AA84" s="565"/>
      <c r="AB84" s="565"/>
      <c r="AC84" s="565"/>
      <c r="AD84" s="565"/>
      <c r="AE84" s="565"/>
      <c r="AF84" s="565"/>
      <c r="AG84" s="565"/>
      <c r="AH84" s="565"/>
      <c r="AI84" s="565"/>
      <c r="AJ84" s="565"/>
      <c r="AK84" s="437"/>
      <c r="AL84" s="462"/>
      <c r="AM84" s="462"/>
      <c r="AN84" s="465"/>
    </row>
    <row r="85" spans="1:40" s="463" customFormat="1" ht="58.5" customHeight="1" outlineLevel="1" x14ac:dyDescent="0.25">
      <c r="A85" s="443" t="s">
        <v>278</v>
      </c>
      <c r="B85" s="435" t="s">
        <v>279</v>
      </c>
      <c r="C85" s="291"/>
      <c r="D85" s="461" t="s">
        <v>36</v>
      </c>
      <c r="E85" s="449"/>
      <c r="F85" s="449"/>
      <c r="G85" s="449"/>
      <c r="H85" s="449"/>
      <c r="I85" s="449"/>
      <c r="J85" s="449"/>
      <c r="K85" s="449"/>
      <c r="L85" s="449"/>
      <c r="M85" s="449"/>
      <c r="N85" s="449"/>
      <c r="O85" s="449"/>
      <c r="P85" s="449"/>
      <c r="Q85" s="449"/>
      <c r="R85" s="449"/>
      <c r="S85" s="449"/>
      <c r="T85" s="449"/>
      <c r="U85" s="449"/>
      <c r="V85" s="564"/>
      <c r="W85" s="564"/>
      <c r="X85" s="564"/>
      <c r="Y85" s="564"/>
      <c r="Z85" s="564"/>
      <c r="AA85" s="564"/>
      <c r="AB85" s="564"/>
      <c r="AC85" s="564"/>
      <c r="AD85" s="564"/>
      <c r="AE85" s="564"/>
      <c r="AF85" s="564"/>
      <c r="AG85" s="564"/>
      <c r="AH85" s="564"/>
      <c r="AI85" s="564"/>
      <c r="AJ85" s="564"/>
      <c r="AK85" s="437"/>
      <c r="AL85" s="462"/>
      <c r="AM85" s="462"/>
      <c r="AN85" s="465"/>
    </row>
    <row r="86" spans="1:40" s="463" customFormat="1" ht="18" customHeight="1" outlineLevel="1" x14ac:dyDescent="0.25">
      <c r="A86" s="598"/>
      <c r="B86" s="517"/>
      <c r="C86" s="608"/>
      <c r="D86" s="475"/>
      <c r="E86" s="450"/>
      <c r="F86" s="450"/>
      <c r="G86" s="451"/>
      <c r="H86" s="451"/>
      <c r="I86" s="451"/>
      <c r="J86" s="451"/>
      <c r="K86" s="451"/>
      <c r="L86" s="453"/>
      <c r="M86" s="451"/>
      <c r="N86" s="451"/>
      <c r="O86" s="451"/>
      <c r="P86" s="453"/>
      <c r="Q86" s="453"/>
      <c r="R86" s="453"/>
      <c r="S86" s="453"/>
      <c r="T86" s="453"/>
      <c r="U86" s="453"/>
      <c r="V86" s="565"/>
      <c r="W86" s="565"/>
      <c r="X86" s="565"/>
      <c r="Y86" s="565"/>
      <c r="Z86" s="565"/>
      <c r="AA86" s="565"/>
      <c r="AB86" s="565"/>
      <c r="AC86" s="565"/>
      <c r="AD86" s="565"/>
      <c r="AE86" s="565"/>
      <c r="AF86" s="565"/>
      <c r="AG86" s="565"/>
      <c r="AH86" s="565"/>
      <c r="AI86" s="565"/>
      <c r="AJ86" s="565"/>
      <c r="AK86" s="437"/>
      <c r="AL86" s="462"/>
      <c r="AM86" s="462"/>
      <c r="AN86" s="465"/>
    </row>
    <row r="87" spans="1:40" s="463" customFormat="1" ht="19.5" customHeight="1" outlineLevel="1" x14ac:dyDescent="0.25">
      <c r="A87" s="92" t="s">
        <v>280</v>
      </c>
      <c r="B87" s="444" t="s">
        <v>281</v>
      </c>
      <c r="C87" s="291"/>
      <c r="D87" s="461" t="s">
        <v>36</v>
      </c>
      <c r="E87" s="449"/>
      <c r="F87" s="449"/>
      <c r="G87" s="449"/>
      <c r="H87" s="449"/>
      <c r="I87" s="449"/>
      <c r="J87" s="449"/>
      <c r="K87" s="449"/>
      <c r="L87" s="449"/>
      <c r="M87" s="449"/>
      <c r="N87" s="449"/>
      <c r="O87" s="449"/>
      <c r="P87" s="449"/>
      <c r="Q87" s="449"/>
      <c r="R87" s="449"/>
      <c r="S87" s="449"/>
      <c r="T87" s="449"/>
      <c r="U87" s="449"/>
      <c r="V87" s="564"/>
      <c r="W87" s="564"/>
      <c r="X87" s="564"/>
      <c r="Y87" s="564"/>
      <c r="Z87" s="564"/>
      <c r="AA87" s="564"/>
      <c r="AB87" s="564"/>
      <c r="AC87" s="564"/>
      <c r="AD87" s="564"/>
      <c r="AE87" s="564"/>
      <c r="AF87" s="564"/>
      <c r="AG87" s="564"/>
      <c r="AH87" s="564"/>
      <c r="AI87" s="564"/>
      <c r="AJ87" s="564"/>
      <c r="AK87" s="437"/>
      <c r="AL87" s="462"/>
      <c r="AM87" s="462"/>
      <c r="AN87" s="465"/>
    </row>
    <row r="88" spans="1:40" s="463" customFormat="1" ht="19.5" customHeight="1" outlineLevel="1" x14ac:dyDescent="0.25">
      <c r="A88" s="94"/>
      <c r="B88" s="444"/>
      <c r="C88" s="608"/>
      <c r="D88" s="475"/>
      <c r="E88" s="450"/>
      <c r="F88" s="450"/>
      <c r="G88" s="451"/>
      <c r="H88" s="451"/>
      <c r="I88" s="451"/>
      <c r="J88" s="451"/>
      <c r="K88" s="451"/>
      <c r="L88" s="453"/>
      <c r="M88" s="451"/>
      <c r="N88" s="451"/>
      <c r="O88" s="451"/>
      <c r="P88" s="453"/>
      <c r="Q88" s="453"/>
      <c r="R88" s="453"/>
      <c r="S88" s="453"/>
      <c r="T88" s="453"/>
      <c r="U88" s="453"/>
      <c r="V88" s="565"/>
      <c r="W88" s="565"/>
      <c r="X88" s="565"/>
      <c r="Y88" s="565"/>
      <c r="Z88" s="565"/>
      <c r="AA88" s="565"/>
      <c r="AB88" s="565"/>
      <c r="AC88" s="565"/>
      <c r="AD88" s="565"/>
      <c r="AE88" s="565"/>
      <c r="AF88" s="565"/>
      <c r="AG88" s="565"/>
      <c r="AH88" s="565"/>
      <c r="AI88" s="565"/>
      <c r="AJ88" s="565"/>
      <c r="AK88" s="437"/>
      <c r="AL88" s="462"/>
      <c r="AM88" s="462"/>
      <c r="AN88" s="465"/>
    </row>
    <row r="89" spans="1:40" s="463" customFormat="1" ht="19.5" customHeight="1" outlineLevel="1" x14ac:dyDescent="0.25">
      <c r="A89" s="443" t="s">
        <v>282</v>
      </c>
      <c r="B89" s="592" t="s">
        <v>283</v>
      </c>
      <c r="C89" s="610"/>
      <c r="D89" s="461" t="s">
        <v>36</v>
      </c>
      <c r="E89" s="449"/>
      <c r="F89" s="449"/>
      <c r="G89" s="449"/>
      <c r="H89" s="449"/>
      <c r="I89" s="449"/>
      <c r="J89" s="449"/>
      <c r="K89" s="449"/>
      <c r="L89" s="449"/>
      <c r="M89" s="449"/>
      <c r="N89" s="449"/>
      <c r="O89" s="449"/>
      <c r="P89" s="449"/>
      <c r="Q89" s="449"/>
      <c r="R89" s="449"/>
      <c r="S89" s="449"/>
      <c r="T89" s="449"/>
      <c r="U89" s="449"/>
      <c r="V89" s="564"/>
      <c r="W89" s="564"/>
      <c r="X89" s="564"/>
      <c r="Y89" s="564"/>
      <c r="Z89" s="564"/>
      <c r="AA89" s="564"/>
      <c r="AB89" s="564"/>
      <c r="AC89" s="564"/>
      <c r="AD89" s="564"/>
      <c r="AE89" s="564"/>
      <c r="AF89" s="564"/>
      <c r="AG89" s="564"/>
      <c r="AH89" s="564"/>
      <c r="AI89" s="564"/>
      <c r="AJ89" s="564"/>
      <c r="AK89" s="437"/>
      <c r="AL89" s="462"/>
      <c r="AM89" s="462"/>
      <c r="AN89" s="465"/>
    </row>
    <row r="90" spans="1:40" s="463" customFormat="1" ht="19.5" customHeight="1" outlineLevel="1" x14ac:dyDescent="0.25">
      <c r="A90" s="443"/>
      <c r="B90" s="593"/>
      <c r="C90" s="608"/>
      <c r="D90" s="461"/>
      <c r="E90" s="450"/>
      <c r="F90" s="450"/>
      <c r="G90" s="451"/>
      <c r="H90" s="451"/>
      <c r="I90" s="451"/>
      <c r="J90" s="451"/>
      <c r="K90" s="451"/>
      <c r="L90" s="453"/>
      <c r="M90" s="453"/>
      <c r="N90" s="453"/>
      <c r="O90" s="451"/>
      <c r="P90" s="451"/>
      <c r="Q90" s="453"/>
      <c r="R90" s="453"/>
      <c r="S90" s="453"/>
      <c r="T90" s="453"/>
      <c r="U90" s="453"/>
      <c r="V90" s="565"/>
      <c r="W90" s="565"/>
      <c r="X90" s="565"/>
      <c r="Y90" s="565"/>
      <c r="Z90" s="565"/>
      <c r="AA90" s="565"/>
      <c r="AB90" s="565"/>
      <c r="AC90" s="565"/>
      <c r="AD90" s="565"/>
      <c r="AE90" s="565"/>
      <c r="AF90" s="565"/>
      <c r="AG90" s="565"/>
      <c r="AH90" s="565"/>
      <c r="AI90" s="565"/>
      <c r="AJ90" s="565"/>
      <c r="AK90" s="437"/>
      <c r="AL90" s="462"/>
      <c r="AM90" s="462"/>
      <c r="AN90" s="465"/>
    </row>
    <row r="91" spans="1:40" s="463" customFormat="1" ht="19.5" customHeight="1" outlineLevel="1" x14ac:dyDescent="0.25">
      <c r="A91" s="92" t="s">
        <v>284</v>
      </c>
      <c r="B91" s="592" t="s">
        <v>285</v>
      </c>
      <c r="C91" s="610"/>
      <c r="D91" s="461" t="s">
        <v>36</v>
      </c>
      <c r="E91" s="449"/>
      <c r="F91" s="449"/>
      <c r="G91" s="449"/>
      <c r="H91" s="449"/>
      <c r="I91" s="449"/>
      <c r="J91" s="449"/>
      <c r="K91" s="449"/>
      <c r="L91" s="449"/>
      <c r="M91" s="449"/>
      <c r="N91" s="449"/>
      <c r="O91" s="449"/>
      <c r="P91" s="449"/>
      <c r="Q91" s="449"/>
      <c r="R91" s="449"/>
      <c r="S91" s="449"/>
      <c r="T91" s="449"/>
      <c r="U91" s="449"/>
      <c r="V91" s="564"/>
      <c r="W91" s="564"/>
      <c r="X91" s="564"/>
      <c r="Y91" s="564"/>
      <c r="Z91" s="564"/>
      <c r="AA91" s="564"/>
      <c r="AB91" s="564"/>
      <c r="AC91" s="564"/>
      <c r="AD91" s="564"/>
      <c r="AE91" s="564"/>
      <c r="AF91" s="564"/>
      <c r="AG91" s="564"/>
      <c r="AH91" s="564"/>
      <c r="AI91" s="564"/>
      <c r="AJ91" s="564"/>
      <c r="AK91" s="437"/>
      <c r="AL91" s="462"/>
      <c r="AM91" s="462"/>
      <c r="AN91" s="465"/>
    </row>
    <row r="92" spans="1:40" s="463" customFormat="1" ht="19.5" customHeight="1" outlineLevel="1" x14ac:dyDescent="0.25">
      <c r="A92" s="82"/>
      <c r="B92" s="593"/>
      <c r="C92" s="608"/>
      <c r="D92" s="461"/>
      <c r="E92" s="450"/>
      <c r="F92" s="450"/>
      <c r="G92" s="451"/>
      <c r="H92" s="451"/>
      <c r="I92" s="451"/>
      <c r="J92" s="451"/>
      <c r="K92" s="451"/>
      <c r="L92" s="451"/>
      <c r="M92" s="453"/>
      <c r="N92" s="453"/>
      <c r="O92" s="451"/>
      <c r="P92" s="451"/>
      <c r="Q92" s="451"/>
      <c r="R92" s="453"/>
      <c r="S92" s="453"/>
      <c r="T92" s="453"/>
      <c r="U92" s="453"/>
      <c r="V92" s="565"/>
      <c r="W92" s="565"/>
      <c r="X92" s="565"/>
      <c r="Y92" s="565"/>
      <c r="Z92" s="565"/>
      <c r="AA92" s="565"/>
      <c r="AB92" s="565"/>
      <c r="AC92" s="565"/>
      <c r="AD92" s="565"/>
      <c r="AE92" s="565"/>
      <c r="AF92" s="565"/>
      <c r="AG92" s="565"/>
      <c r="AH92" s="565"/>
      <c r="AI92" s="565"/>
      <c r="AJ92" s="565"/>
      <c r="AK92" s="437"/>
      <c r="AL92" s="462"/>
      <c r="AM92" s="462"/>
      <c r="AN92" s="465"/>
    </row>
    <row r="93" spans="1:40" s="463" customFormat="1" ht="19.5" customHeight="1" outlineLevel="1" x14ac:dyDescent="0.25">
      <c r="A93" s="598" t="s">
        <v>286</v>
      </c>
      <c r="B93" s="587" t="s">
        <v>287</v>
      </c>
      <c r="C93" s="610"/>
      <c r="D93" s="461" t="s">
        <v>36</v>
      </c>
      <c r="E93" s="449"/>
      <c r="F93" s="449"/>
      <c r="G93" s="449"/>
      <c r="H93" s="449"/>
      <c r="I93" s="449"/>
      <c r="J93" s="449"/>
      <c r="K93" s="449"/>
      <c r="L93" s="449"/>
      <c r="M93" s="449"/>
      <c r="N93" s="449"/>
      <c r="O93" s="449"/>
      <c r="P93" s="449"/>
      <c r="Q93" s="449"/>
      <c r="R93" s="449"/>
      <c r="S93" s="449"/>
      <c r="T93" s="449"/>
      <c r="U93" s="449"/>
      <c r="V93" s="564"/>
      <c r="W93" s="564"/>
      <c r="X93" s="564"/>
      <c r="Y93" s="564"/>
      <c r="Z93" s="564"/>
      <c r="AA93" s="564"/>
      <c r="AB93" s="564"/>
      <c r="AC93" s="564"/>
      <c r="AD93" s="564"/>
      <c r="AE93" s="564"/>
      <c r="AF93" s="564"/>
      <c r="AG93" s="564"/>
      <c r="AH93" s="564"/>
      <c r="AI93" s="564"/>
      <c r="AJ93" s="564"/>
      <c r="AK93" s="437"/>
      <c r="AL93" s="462"/>
      <c r="AM93" s="462"/>
      <c r="AN93" s="465"/>
    </row>
    <row r="94" spans="1:40" s="463" customFormat="1" ht="19.5" customHeight="1" outlineLevel="1" x14ac:dyDescent="0.25">
      <c r="A94" s="82"/>
      <c r="B94" s="588"/>
      <c r="C94" s="608"/>
      <c r="D94" s="461"/>
      <c r="E94" s="450"/>
      <c r="F94" s="450"/>
      <c r="G94" s="451"/>
      <c r="H94" s="451"/>
      <c r="I94" s="451"/>
      <c r="J94" s="451"/>
      <c r="K94" s="451"/>
      <c r="L94" s="453"/>
      <c r="M94" s="453"/>
      <c r="N94" s="453"/>
      <c r="O94" s="451"/>
      <c r="P94" s="451"/>
      <c r="Q94" s="453"/>
      <c r="R94" s="453"/>
      <c r="S94" s="453"/>
      <c r="T94" s="453"/>
      <c r="U94" s="453"/>
      <c r="V94" s="565"/>
      <c r="W94" s="565"/>
      <c r="X94" s="565"/>
      <c r="Y94" s="565"/>
      <c r="Z94" s="565"/>
      <c r="AA94" s="565"/>
      <c r="AB94" s="565"/>
      <c r="AC94" s="565"/>
      <c r="AD94" s="565"/>
      <c r="AE94" s="565"/>
      <c r="AF94" s="565"/>
      <c r="AG94" s="565"/>
      <c r="AH94" s="565"/>
      <c r="AI94" s="565"/>
      <c r="AJ94" s="565"/>
      <c r="AK94" s="437"/>
      <c r="AL94" s="462"/>
      <c r="AM94" s="462"/>
      <c r="AN94" s="465"/>
    </row>
    <row r="95" spans="1:40" s="463" customFormat="1" ht="19.5" customHeight="1" outlineLevel="1" x14ac:dyDescent="0.25">
      <c r="A95" s="79" t="s">
        <v>288</v>
      </c>
      <c r="B95" s="587" t="s">
        <v>289</v>
      </c>
      <c r="C95" s="610"/>
      <c r="D95" s="461" t="s">
        <v>36</v>
      </c>
      <c r="E95" s="449"/>
      <c r="F95" s="449"/>
      <c r="G95" s="449"/>
      <c r="H95" s="449"/>
      <c r="I95" s="449"/>
      <c r="J95" s="449"/>
      <c r="K95" s="449"/>
      <c r="L95" s="449"/>
      <c r="M95" s="449"/>
      <c r="N95" s="449"/>
      <c r="O95" s="449"/>
      <c r="P95" s="449"/>
      <c r="Q95" s="449"/>
      <c r="R95" s="449"/>
      <c r="S95" s="449"/>
      <c r="T95" s="449"/>
      <c r="U95" s="449"/>
      <c r="V95" s="564"/>
      <c r="W95" s="564"/>
      <c r="X95" s="564"/>
      <c r="Y95" s="564"/>
      <c r="Z95" s="564"/>
      <c r="AA95" s="564"/>
      <c r="AB95" s="564"/>
      <c r="AC95" s="564"/>
      <c r="AD95" s="564"/>
      <c r="AE95" s="564"/>
      <c r="AF95" s="564"/>
      <c r="AG95" s="564"/>
      <c r="AH95" s="564"/>
      <c r="AI95" s="564"/>
      <c r="AJ95" s="564"/>
      <c r="AK95" s="437"/>
      <c r="AL95" s="462"/>
      <c r="AM95" s="462"/>
      <c r="AN95" s="465"/>
    </row>
    <row r="96" spans="1:40" s="463" customFormat="1" ht="19.5" customHeight="1" outlineLevel="1" x14ac:dyDescent="0.25">
      <c r="A96" s="82"/>
      <c r="B96" s="588"/>
      <c r="C96" s="608"/>
      <c r="D96" s="461"/>
      <c r="E96" s="450"/>
      <c r="F96" s="450"/>
      <c r="G96" s="451"/>
      <c r="H96" s="451"/>
      <c r="I96" s="451"/>
      <c r="J96" s="451"/>
      <c r="K96" s="451"/>
      <c r="L96" s="451"/>
      <c r="M96" s="451"/>
      <c r="N96" s="453"/>
      <c r="O96" s="451"/>
      <c r="P96" s="451"/>
      <c r="Q96" s="451"/>
      <c r="R96" s="451"/>
      <c r="S96" s="453"/>
      <c r="T96" s="453"/>
      <c r="U96" s="453"/>
      <c r="V96" s="565"/>
      <c r="W96" s="565"/>
      <c r="X96" s="565"/>
      <c r="Y96" s="565"/>
      <c r="Z96" s="565"/>
      <c r="AA96" s="565"/>
      <c r="AB96" s="565"/>
      <c r="AC96" s="565"/>
      <c r="AD96" s="565"/>
      <c r="AE96" s="565"/>
      <c r="AF96" s="565"/>
      <c r="AG96" s="565"/>
      <c r="AH96" s="565"/>
      <c r="AI96" s="565"/>
      <c r="AJ96" s="565"/>
      <c r="AK96" s="437"/>
      <c r="AL96" s="462"/>
      <c r="AM96" s="462"/>
      <c r="AN96" s="465"/>
    </row>
    <row r="97" spans="1:40" s="463" customFormat="1" ht="62.25" customHeight="1" x14ac:dyDescent="0.25">
      <c r="A97" s="79" t="s">
        <v>290</v>
      </c>
      <c r="B97" s="587" t="s">
        <v>291</v>
      </c>
      <c r="C97" s="610"/>
      <c r="D97" s="476"/>
      <c r="E97" s="449"/>
      <c r="F97" s="449"/>
      <c r="G97" s="449"/>
      <c r="H97" s="449"/>
      <c r="I97" s="449"/>
      <c r="J97" s="449"/>
      <c r="K97" s="449"/>
      <c r="L97" s="449"/>
      <c r="M97" s="449"/>
      <c r="N97" s="449"/>
      <c r="O97" s="449"/>
      <c r="P97" s="449"/>
      <c r="Q97" s="449"/>
      <c r="R97" s="449"/>
      <c r="S97" s="449"/>
      <c r="T97" s="449"/>
      <c r="U97" s="449"/>
      <c r="V97" s="564"/>
      <c r="W97" s="564"/>
      <c r="X97" s="564"/>
      <c r="Y97" s="564"/>
      <c r="Z97" s="564"/>
      <c r="AA97" s="564"/>
      <c r="AB97" s="564"/>
      <c r="AC97" s="564"/>
      <c r="AD97" s="564"/>
      <c r="AE97" s="564"/>
      <c r="AF97" s="564"/>
      <c r="AG97" s="564"/>
      <c r="AH97" s="564"/>
      <c r="AI97" s="564"/>
      <c r="AJ97" s="564"/>
      <c r="AK97" s="437"/>
      <c r="AL97" s="462"/>
      <c r="AM97" s="462"/>
      <c r="AN97" s="465"/>
    </row>
    <row r="98" spans="1:40" s="463" customFormat="1" ht="18.75" outlineLevel="1" x14ac:dyDescent="0.25">
      <c r="A98" s="82"/>
      <c r="B98" s="588"/>
      <c r="C98" s="608"/>
      <c r="D98" s="461" t="s">
        <v>36</v>
      </c>
      <c r="E98" s="449"/>
      <c r="F98" s="449"/>
      <c r="G98" s="449"/>
      <c r="H98" s="449"/>
      <c r="I98" s="449"/>
      <c r="J98" s="449"/>
      <c r="K98" s="449"/>
      <c r="L98" s="449"/>
      <c r="M98" s="449"/>
      <c r="N98" s="449"/>
      <c r="O98" s="449"/>
      <c r="P98" s="449"/>
      <c r="Q98" s="449"/>
      <c r="R98" s="449"/>
      <c r="S98" s="449"/>
      <c r="T98" s="449"/>
      <c r="U98" s="449"/>
      <c r="V98" s="564"/>
      <c r="W98" s="564"/>
      <c r="X98" s="564"/>
      <c r="Y98" s="564"/>
      <c r="Z98" s="564"/>
      <c r="AA98" s="564"/>
      <c r="AB98" s="564"/>
      <c r="AC98" s="564"/>
      <c r="AD98" s="564"/>
      <c r="AE98" s="564"/>
      <c r="AF98" s="564"/>
      <c r="AG98" s="564"/>
      <c r="AH98" s="564"/>
      <c r="AI98" s="564"/>
      <c r="AJ98" s="564"/>
      <c r="AK98" s="437"/>
      <c r="AL98" s="462"/>
      <c r="AM98" s="462"/>
      <c r="AN98" s="465"/>
    </row>
    <row r="99" spans="1:40" s="463" customFormat="1" ht="18.75" outlineLevel="1" x14ac:dyDescent="0.25">
      <c r="A99" s="79" t="s">
        <v>292</v>
      </c>
      <c r="B99" s="587" t="s">
        <v>272</v>
      </c>
      <c r="C99" s="609"/>
      <c r="D99" s="461"/>
      <c r="E99" s="450"/>
      <c r="F99" s="450"/>
      <c r="G99" s="451"/>
      <c r="H99" s="451"/>
      <c r="I99" s="451"/>
      <c r="J99" s="451"/>
      <c r="K99" s="451"/>
      <c r="L99" s="453"/>
      <c r="M99" s="453"/>
      <c r="N99" s="453"/>
      <c r="O99" s="453"/>
      <c r="P99" s="453"/>
      <c r="Q99" s="453"/>
      <c r="R99" s="453"/>
      <c r="S99" s="453"/>
      <c r="T99" s="453"/>
      <c r="U99" s="453"/>
      <c r="V99" s="565"/>
      <c r="W99" s="565"/>
      <c r="X99" s="565"/>
      <c r="Y99" s="565"/>
      <c r="Z99" s="565"/>
      <c r="AA99" s="565"/>
      <c r="AB99" s="565"/>
      <c r="AC99" s="565"/>
      <c r="AD99" s="565"/>
      <c r="AE99" s="565"/>
      <c r="AF99" s="565"/>
      <c r="AG99" s="565"/>
      <c r="AH99" s="565"/>
      <c r="AI99" s="565"/>
      <c r="AJ99" s="565"/>
      <c r="AK99" s="437"/>
      <c r="AL99" s="462"/>
      <c r="AM99" s="462"/>
      <c r="AN99" s="465"/>
    </row>
    <row r="100" spans="1:40" s="463" customFormat="1" ht="18.75" outlineLevel="1" x14ac:dyDescent="0.25">
      <c r="A100" s="85"/>
      <c r="B100" s="588"/>
      <c r="C100" s="608"/>
      <c r="D100" s="461" t="s">
        <v>36</v>
      </c>
      <c r="E100" s="449"/>
      <c r="F100" s="449"/>
      <c r="G100" s="449"/>
      <c r="H100" s="449"/>
      <c r="I100" s="449"/>
      <c r="J100" s="449"/>
      <c r="K100" s="449"/>
      <c r="L100" s="449"/>
      <c r="M100" s="449"/>
      <c r="N100" s="449"/>
      <c r="O100" s="449"/>
      <c r="P100" s="449"/>
      <c r="Q100" s="449"/>
      <c r="R100" s="449"/>
      <c r="S100" s="449"/>
      <c r="T100" s="449"/>
      <c r="U100" s="449"/>
      <c r="V100" s="564"/>
      <c r="W100" s="564"/>
      <c r="X100" s="564"/>
      <c r="Y100" s="564"/>
      <c r="Z100" s="564"/>
      <c r="AA100" s="564"/>
      <c r="AB100" s="564"/>
      <c r="AC100" s="564"/>
      <c r="AD100" s="564"/>
      <c r="AE100" s="564"/>
      <c r="AF100" s="564"/>
      <c r="AG100" s="564"/>
      <c r="AH100" s="564"/>
      <c r="AI100" s="564"/>
      <c r="AJ100" s="564"/>
      <c r="AK100" s="437"/>
      <c r="AL100" s="462"/>
      <c r="AM100" s="462"/>
      <c r="AN100" s="465"/>
    </row>
    <row r="101" spans="1:40" s="463" customFormat="1" ht="18.75" outlineLevel="1" x14ac:dyDescent="0.25">
      <c r="A101" s="524">
        <v>4</v>
      </c>
      <c r="B101" s="589" t="s">
        <v>293</v>
      </c>
      <c r="C101" s="607" t="s">
        <v>315</v>
      </c>
      <c r="D101" s="461"/>
      <c r="E101" s="450"/>
      <c r="F101" s="450"/>
      <c r="G101" s="451"/>
      <c r="H101" s="451"/>
      <c r="I101" s="451"/>
      <c r="J101" s="451"/>
      <c r="K101" s="451"/>
      <c r="L101" s="453"/>
      <c r="M101" s="453"/>
      <c r="N101" s="453"/>
      <c r="O101" s="453"/>
      <c r="P101" s="453"/>
      <c r="Q101" s="453"/>
      <c r="R101" s="453"/>
      <c r="S101" s="453"/>
      <c r="T101" s="453"/>
      <c r="U101" s="453"/>
      <c r="V101" s="565"/>
      <c r="W101" s="565"/>
      <c r="X101" s="565"/>
      <c r="Y101" s="565"/>
      <c r="Z101" s="565"/>
      <c r="AA101" s="449">
        <v>0.05</v>
      </c>
      <c r="AB101" s="449">
        <v>0.05</v>
      </c>
      <c r="AC101" s="449">
        <v>0.1</v>
      </c>
      <c r="AD101" s="449">
        <v>0.15</v>
      </c>
      <c r="AE101" s="449">
        <v>0.15</v>
      </c>
      <c r="AF101" s="449">
        <v>0.2</v>
      </c>
      <c r="AG101" s="449">
        <v>0.1</v>
      </c>
      <c r="AH101" s="449">
        <v>0.1</v>
      </c>
      <c r="AI101" s="449">
        <v>0.05</v>
      </c>
      <c r="AJ101" s="449">
        <v>0.05</v>
      </c>
      <c r="AK101" s="437"/>
      <c r="AL101" s="462"/>
      <c r="AM101" s="462"/>
      <c r="AN101" s="465"/>
    </row>
    <row r="102" spans="1:40" s="463" customFormat="1" ht="18.75" outlineLevel="1" x14ac:dyDescent="0.25">
      <c r="A102" s="526"/>
      <c r="B102" s="590"/>
      <c r="C102" s="611">
        <v>2023</v>
      </c>
      <c r="D102" s="461" t="s">
        <v>36</v>
      </c>
      <c r="E102" s="449"/>
      <c r="F102" s="449"/>
      <c r="G102" s="449"/>
      <c r="H102" s="449"/>
      <c r="I102" s="449"/>
      <c r="J102" s="449"/>
      <c r="K102" s="449"/>
      <c r="L102" s="449"/>
      <c r="M102" s="449"/>
      <c r="N102" s="449"/>
      <c r="O102" s="449"/>
      <c r="P102" s="449"/>
      <c r="Q102" s="449"/>
      <c r="R102" s="449"/>
      <c r="S102" s="449"/>
      <c r="T102" s="449"/>
      <c r="U102" s="449"/>
      <c r="V102" s="564"/>
      <c r="W102" s="564"/>
      <c r="X102" s="564"/>
      <c r="Y102" s="564"/>
      <c r="Z102" s="564"/>
      <c r="AA102" s="564"/>
      <c r="AB102" s="564"/>
      <c r="AC102" s="564"/>
      <c r="AD102" s="564"/>
      <c r="AE102" s="564"/>
      <c r="AF102" s="564"/>
      <c r="AG102" s="564"/>
      <c r="AH102" s="564"/>
      <c r="AI102" s="564"/>
      <c r="AJ102" s="564"/>
      <c r="AK102" s="437"/>
      <c r="AL102" s="462"/>
      <c r="AM102" s="462"/>
      <c r="AN102" s="465"/>
    </row>
    <row r="103" spans="1:40" s="463" customFormat="1" ht="56.25" outlineLevel="1" x14ac:dyDescent="0.25">
      <c r="A103" s="79" t="s">
        <v>89</v>
      </c>
      <c r="B103" s="521" t="s">
        <v>212</v>
      </c>
      <c r="C103" s="55" t="s">
        <v>122</v>
      </c>
      <c r="D103" s="461"/>
      <c r="E103" s="450"/>
      <c r="F103" s="450"/>
      <c r="G103" s="451"/>
      <c r="H103" s="451"/>
      <c r="I103" s="451"/>
      <c r="J103" s="451"/>
      <c r="K103" s="451"/>
      <c r="L103" s="453"/>
      <c r="M103" s="453"/>
      <c r="N103" s="453"/>
      <c r="O103" s="453"/>
      <c r="P103" s="453"/>
      <c r="Q103" s="453"/>
      <c r="R103" s="453"/>
      <c r="S103" s="453"/>
      <c r="T103" s="453"/>
      <c r="U103" s="453"/>
      <c r="V103" s="565"/>
      <c r="W103" s="565"/>
      <c r="X103" s="565"/>
      <c r="Y103" s="565"/>
      <c r="Z103" s="565"/>
      <c r="AA103" s="565"/>
      <c r="AB103" s="565"/>
      <c r="AC103" s="565"/>
      <c r="AD103" s="565"/>
      <c r="AE103" s="565"/>
      <c r="AF103" s="565"/>
      <c r="AG103" s="565"/>
      <c r="AH103" s="565"/>
      <c r="AI103" s="565"/>
      <c r="AJ103" s="565"/>
      <c r="AK103" s="437"/>
      <c r="AL103" s="462"/>
      <c r="AM103" s="462"/>
      <c r="AN103" s="465"/>
    </row>
    <row r="104" spans="1:40" s="463" customFormat="1" ht="18.75" outlineLevel="1" x14ac:dyDescent="0.25">
      <c r="A104" s="82"/>
      <c r="B104" s="591"/>
      <c r="C104" s="578">
        <v>2021</v>
      </c>
      <c r="D104" s="461" t="s">
        <v>36</v>
      </c>
      <c r="E104" s="449"/>
      <c r="F104" s="449"/>
      <c r="G104" s="449"/>
      <c r="H104" s="449"/>
      <c r="I104" s="449"/>
      <c r="J104" s="449"/>
      <c r="K104" s="449"/>
      <c r="L104" s="449"/>
      <c r="M104" s="449"/>
      <c r="N104" s="449"/>
      <c r="O104" s="449"/>
      <c r="P104" s="449"/>
      <c r="Q104" s="449"/>
      <c r="R104" s="449"/>
      <c r="S104" s="449"/>
      <c r="T104" s="449"/>
      <c r="U104" s="449"/>
      <c r="V104" s="564"/>
      <c r="W104" s="564"/>
      <c r="X104" s="564"/>
      <c r="Y104" s="564"/>
      <c r="Z104" s="564"/>
      <c r="AA104" s="564"/>
      <c r="AB104" s="564"/>
      <c r="AC104" s="564"/>
      <c r="AD104" s="564"/>
      <c r="AE104" s="564"/>
      <c r="AF104" s="564"/>
      <c r="AG104" s="564"/>
      <c r="AH104" s="564"/>
      <c r="AI104" s="564"/>
      <c r="AJ104" s="564"/>
      <c r="AK104" s="437"/>
      <c r="AL104" s="462"/>
      <c r="AM104" s="462"/>
      <c r="AN104" s="465"/>
    </row>
    <row r="105" spans="1:40" s="463" customFormat="1" ht="56.25" outlineLevel="1" x14ac:dyDescent="0.25">
      <c r="A105" s="79" t="s">
        <v>90</v>
      </c>
      <c r="B105" s="521" t="s">
        <v>213</v>
      </c>
      <c r="C105" s="55"/>
      <c r="D105" s="461"/>
      <c r="E105" s="450"/>
      <c r="F105" s="450"/>
      <c r="G105" s="451"/>
      <c r="H105" s="451"/>
      <c r="I105" s="451"/>
      <c r="J105" s="451"/>
      <c r="K105" s="451"/>
      <c r="L105" s="453"/>
      <c r="M105" s="453"/>
      <c r="N105" s="453"/>
      <c r="O105" s="453"/>
      <c r="P105" s="453"/>
      <c r="Q105" s="453"/>
      <c r="R105" s="453"/>
      <c r="S105" s="453"/>
      <c r="T105" s="453"/>
      <c r="U105" s="453"/>
      <c r="V105" s="565"/>
      <c r="W105" s="565"/>
      <c r="X105" s="565"/>
      <c r="Y105" s="565"/>
      <c r="Z105" s="565"/>
      <c r="AA105" s="565"/>
      <c r="AB105" s="565"/>
      <c r="AC105" s="565"/>
      <c r="AD105" s="565"/>
      <c r="AE105" s="565"/>
      <c r="AF105" s="565"/>
      <c r="AG105" s="565"/>
      <c r="AH105" s="565"/>
      <c r="AI105" s="565"/>
      <c r="AJ105" s="565"/>
      <c r="AK105" s="437"/>
      <c r="AL105" s="462"/>
      <c r="AM105" s="462"/>
      <c r="AN105" s="465"/>
    </row>
    <row r="106" spans="1:40" s="463" customFormat="1" ht="18.75" outlineLevel="1" x14ac:dyDescent="0.25">
      <c r="A106" s="82"/>
      <c r="B106" s="591"/>
      <c r="C106" s="578"/>
      <c r="D106" s="461" t="s">
        <v>36</v>
      </c>
      <c r="E106" s="449"/>
      <c r="F106" s="449"/>
      <c r="G106" s="449"/>
      <c r="H106" s="449"/>
      <c r="I106" s="449"/>
      <c r="J106" s="449"/>
      <c r="K106" s="449"/>
      <c r="L106" s="449"/>
      <c r="M106" s="449"/>
      <c r="N106" s="449"/>
      <c r="O106" s="449"/>
      <c r="P106" s="449"/>
      <c r="Q106" s="449"/>
      <c r="R106" s="449"/>
      <c r="S106" s="449"/>
      <c r="T106" s="449"/>
      <c r="U106" s="449"/>
      <c r="V106" s="564"/>
      <c r="W106" s="564"/>
      <c r="X106" s="564"/>
      <c r="Y106" s="564"/>
      <c r="Z106" s="564"/>
      <c r="AA106" s="564"/>
      <c r="AB106" s="564"/>
      <c r="AC106" s="564"/>
      <c r="AD106" s="564"/>
      <c r="AE106" s="564"/>
      <c r="AF106" s="564"/>
      <c r="AG106" s="564"/>
      <c r="AH106" s="564"/>
      <c r="AI106" s="564"/>
      <c r="AJ106" s="564"/>
      <c r="AK106" s="437"/>
      <c r="AL106" s="462"/>
      <c r="AM106" s="462"/>
      <c r="AN106" s="465"/>
    </row>
    <row r="107" spans="1:40" s="463" customFormat="1" ht="37.5" outlineLevel="1" x14ac:dyDescent="0.25">
      <c r="A107" s="92" t="s">
        <v>91</v>
      </c>
      <c r="B107" s="516" t="s">
        <v>214</v>
      </c>
      <c r="C107" s="55"/>
      <c r="D107" s="461">
        <v>78000</v>
      </c>
      <c r="E107" s="477"/>
      <c r="F107" s="477"/>
      <c r="G107" s="478"/>
      <c r="H107" s="478"/>
      <c r="I107" s="478"/>
      <c r="J107" s="478"/>
      <c r="K107" s="478"/>
      <c r="L107" s="479"/>
      <c r="M107" s="479"/>
      <c r="N107" s="499"/>
      <c r="O107" s="499"/>
      <c r="P107" s="499"/>
      <c r="Q107" s="499"/>
      <c r="R107" s="499"/>
      <c r="S107" s="479"/>
      <c r="T107" s="479"/>
      <c r="U107" s="479"/>
      <c r="V107" s="565"/>
      <c r="W107" s="565"/>
      <c r="X107" s="565"/>
      <c r="Y107" s="565"/>
      <c r="Z107" s="565"/>
      <c r="AA107" s="565"/>
      <c r="AB107" s="565"/>
      <c r="AC107" s="565"/>
      <c r="AD107" s="565"/>
      <c r="AE107" s="565"/>
      <c r="AF107" s="565"/>
      <c r="AG107" s="565"/>
      <c r="AH107" s="565"/>
      <c r="AI107" s="565"/>
      <c r="AJ107" s="565"/>
      <c r="AK107" s="501"/>
      <c r="AL107" s="462"/>
      <c r="AM107" s="462"/>
      <c r="AN107" s="465"/>
    </row>
    <row r="108" spans="1:40" s="463" customFormat="1" ht="18.75" outlineLevel="1" x14ac:dyDescent="0.25">
      <c r="A108" s="94"/>
      <c r="B108" s="517"/>
      <c r="C108" s="578"/>
      <c r="D108" s="461" t="s">
        <v>36</v>
      </c>
      <c r="E108" s="454"/>
      <c r="F108" s="454"/>
      <c r="G108" s="454"/>
      <c r="H108" s="454"/>
      <c r="I108" s="454"/>
      <c r="J108" s="454"/>
      <c r="K108" s="454"/>
      <c r="L108" s="454"/>
      <c r="M108" s="454"/>
      <c r="N108" s="454"/>
      <c r="O108" s="454"/>
      <c r="P108" s="454"/>
      <c r="Q108" s="454"/>
      <c r="R108" s="454"/>
      <c r="S108" s="454"/>
      <c r="T108" s="454"/>
      <c r="U108" s="454"/>
      <c r="V108" s="564"/>
      <c r="W108" s="564"/>
      <c r="X108" s="564"/>
      <c r="Y108" s="564"/>
      <c r="Z108" s="564"/>
      <c r="AA108" s="564"/>
      <c r="AB108" s="564"/>
      <c r="AC108" s="564"/>
      <c r="AD108" s="564"/>
      <c r="AE108" s="564"/>
      <c r="AF108" s="564"/>
      <c r="AG108" s="564"/>
      <c r="AH108" s="564"/>
      <c r="AI108" s="564"/>
      <c r="AJ108" s="564"/>
      <c r="AK108" s="501"/>
      <c r="AL108" s="462">
        <v>9.5898494999999979</v>
      </c>
      <c r="AM108" s="462" t="b">
        <f>D109=AL108</f>
        <v>0</v>
      </c>
      <c r="AN108" s="465"/>
    </row>
    <row r="109" spans="1:40" s="463" customFormat="1" ht="18.75" outlineLevel="1" x14ac:dyDescent="0.25">
      <c r="A109" s="92" t="s">
        <v>295</v>
      </c>
      <c r="B109" s="587" t="s">
        <v>75</v>
      </c>
      <c r="C109" s="81"/>
      <c r="D109" s="461">
        <v>40000</v>
      </c>
      <c r="E109" s="477"/>
      <c r="F109" s="477"/>
      <c r="G109" s="478"/>
      <c r="H109" s="478"/>
      <c r="I109" s="478"/>
      <c r="J109" s="478"/>
      <c r="K109" s="478"/>
      <c r="L109" s="479"/>
      <c r="M109" s="479"/>
      <c r="N109" s="479"/>
      <c r="O109" s="479"/>
      <c r="P109" s="479"/>
      <c r="Q109" s="499"/>
      <c r="R109" s="499"/>
      <c r="S109" s="479"/>
      <c r="T109" s="479"/>
      <c r="U109" s="479"/>
      <c r="V109" s="565"/>
      <c r="W109" s="565"/>
      <c r="X109" s="565"/>
      <c r="Y109" s="565"/>
      <c r="Z109" s="565"/>
      <c r="AA109" s="565"/>
      <c r="AB109" s="565"/>
      <c r="AC109" s="565"/>
      <c r="AD109" s="565"/>
      <c r="AE109" s="565"/>
      <c r="AF109" s="565"/>
      <c r="AG109" s="565"/>
      <c r="AH109" s="565"/>
      <c r="AI109" s="565"/>
      <c r="AJ109" s="565"/>
      <c r="AK109" s="501"/>
      <c r="AL109" s="462"/>
      <c r="AM109" s="462"/>
      <c r="AN109" s="465"/>
    </row>
    <row r="110" spans="1:40" s="463" customFormat="1" ht="36.75" customHeight="1" outlineLevel="1" x14ac:dyDescent="0.25">
      <c r="A110" s="70"/>
      <c r="B110" s="588"/>
      <c r="C110" s="578"/>
      <c r="D110" s="461" t="s">
        <v>36</v>
      </c>
      <c r="E110" s="454"/>
      <c r="F110" s="454"/>
      <c r="G110" s="454"/>
      <c r="H110" s="454"/>
      <c r="I110" s="454"/>
      <c r="J110" s="454"/>
      <c r="K110" s="454"/>
      <c r="L110" s="454"/>
      <c r="M110" s="454"/>
      <c r="N110" s="454"/>
      <c r="O110" s="454"/>
      <c r="P110" s="454"/>
      <c r="Q110" s="454"/>
      <c r="R110" s="454"/>
      <c r="S110" s="454"/>
      <c r="T110" s="454"/>
      <c r="U110" s="454"/>
      <c r="V110" s="564"/>
      <c r="W110" s="564"/>
      <c r="X110" s="564"/>
      <c r="Y110" s="564"/>
      <c r="Z110" s="564"/>
      <c r="AA110" s="564"/>
      <c r="AB110" s="564"/>
      <c r="AC110" s="564"/>
      <c r="AD110" s="564"/>
      <c r="AE110" s="564"/>
      <c r="AF110" s="564"/>
      <c r="AG110" s="564"/>
      <c r="AH110" s="564"/>
      <c r="AI110" s="564"/>
      <c r="AJ110" s="564"/>
      <c r="AK110" s="501"/>
      <c r="AL110" s="462">
        <v>3362.4064950000002</v>
      </c>
      <c r="AM110" s="462" t="b">
        <f>D112=AL110</f>
        <v>0</v>
      </c>
      <c r="AN110" s="465"/>
    </row>
    <row r="111" spans="1:40" s="463" customFormat="1" ht="18.75" outlineLevel="1" x14ac:dyDescent="0.25">
      <c r="A111" s="92" t="s">
        <v>296</v>
      </c>
      <c r="B111" s="145" t="s">
        <v>216</v>
      </c>
      <c r="C111" s="55"/>
      <c r="D111" s="461">
        <v>18000</v>
      </c>
      <c r="E111" s="477"/>
      <c r="F111" s="477"/>
      <c r="G111" s="478"/>
      <c r="H111" s="478"/>
      <c r="I111" s="478"/>
      <c r="J111" s="478"/>
      <c r="K111" s="478"/>
      <c r="L111" s="479"/>
      <c r="M111" s="479"/>
      <c r="N111" s="479"/>
      <c r="O111" s="479"/>
      <c r="P111" s="479"/>
      <c r="Q111" s="479"/>
      <c r="R111" s="499"/>
      <c r="S111" s="499"/>
      <c r="T111" s="479"/>
      <c r="U111" s="479"/>
      <c r="V111" s="565"/>
      <c r="W111" s="565"/>
      <c r="X111" s="565"/>
      <c r="Y111" s="565"/>
      <c r="Z111" s="565"/>
      <c r="AA111" s="565"/>
      <c r="AB111" s="565"/>
      <c r="AC111" s="565"/>
      <c r="AD111" s="565"/>
      <c r="AE111" s="565"/>
      <c r="AF111" s="565"/>
      <c r="AG111" s="565"/>
      <c r="AH111" s="565"/>
      <c r="AI111" s="565"/>
      <c r="AJ111" s="565"/>
      <c r="AK111" s="501"/>
      <c r="AL111" s="462"/>
      <c r="AM111" s="462"/>
      <c r="AN111" s="465"/>
    </row>
    <row r="112" spans="1:40" s="463" customFormat="1" ht="18.75" outlineLevel="1" x14ac:dyDescent="0.25">
      <c r="A112" s="60"/>
      <c r="B112" s="514"/>
      <c r="C112" s="578"/>
      <c r="D112" s="461" t="s">
        <v>36</v>
      </c>
      <c r="E112" s="454"/>
      <c r="F112" s="454"/>
      <c r="G112" s="454"/>
      <c r="H112" s="454"/>
      <c r="I112" s="454"/>
      <c r="J112" s="454"/>
      <c r="K112" s="454"/>
      <c r="L112" s="454"/>
      <c r="M112" s="454"/>
      <c r="N112" s="454"/>
      <c r="O112" s="454"/>
      <c r="P112" s="454"/>
      <c r="Q112" s="454"/>
      <c r="R112" s="454"/>
      <c r="S112" s="454"/>
      <c r="T112" s="454"/>
      <c r="U112" s="454"/>
      <c r="V112" s="564"/>
      <c r="W112" s="564"/>
      <c r="X112" s="564"/>
      <c r="Y112" s="564"/>
      <c r="Z112" s="564"/>
      <c r="AA112" s="564"/>
      <c r="AB112" s="564"/>
      <c r="AC112" s="564"/>
      <c r="AD112" s="564"/>
      <c r="AE112" s="564"/>
      <c r="AF112" s="564"/>
      <c r="AG112" s="564"/>
      <c r="AH112" s="564"/>
      <c r="AI112" s="564"/>
      <c r="AJ112" s="564"/>
      <c r="AK112" s="501"/>
      <c r="AL112" s="462"/>
      <c r="AM112" s="462"/>
      <c r="AN112" s="465"/>
    </row>
    <row r="113" spans="1:40" s="463" customFormat="1" ht="21.75" customHeight="1" outlineLevel="1" x14ac:dyDescent="0.25">
      <c r="A113" s="79" t="s">
        <v>297</v>
      </c>
      <c r="B113" s="145" t="s">
        <v>217</v>
      </c>
      <c r="C113" s="55"/>
      <c r="D113" s="461">
        <v>600</v>
      </c>
      <c r="E113" s="477"/>
      <c r="F113" s="477"/>
      <c r="G113" s="478"/>
      <c r="H113" s="478"/>
      <c r="I113" s="478"/>
      <c r="J113" s="478"/>
      <c r="K113" s="478"/>
      <c r="L113" s="479"/>
      <c r="M113" s="479"/>
      <c r="N113" s="479"/>
      <c r="O113" s="479"/>
      <c r="P113" s="479"/>
      <c r="Q113" s="479"/>
      <c r="R113" s="479"/>
      <c r="S113" s="479"/>
      <c r="T113" s="479"/>
      <c r="U113" s="479"/>
      <c r="V113" s="565"/>
      <c r="W113" s="565"/>
      <c r="X113" s="565"/>
      <c r="Y113" s="565"/>
      <c r="Z113" s="565"/>
      <c r="AA113" s="565"/>
      <c r="AB113" s="565"/>
      <c r="AC113" s="565"/>
      <c r="AD113" s="565"/>
      <c r="AE113" s="565"/>
      <c r="AF113" s="565"/>
      <c r="AG113" s="565"/>
      <c r="AH113" s="565"/>
      <c r="AI113" s="565"/>
      <c r="AJ113" s="565"/>
      <c r="AK113" s="501"/>
      <c r="AL113" s="462">
        <v>357.792981</v>
      </c>
      <c r="AM113" s="462" t="b">
        <f>D114=AL113</f>
        <v>0</v>
      </c>
      <c r="AN113" s="465"/>
    </row>
    <row r="114" spans="1:40" s="463" customFormat="1" ht="18.75" outlineLevel="1" x14ac:dyDescent="0.25">
      <c r="A114" s="85"/>
      <c r="B114" s="594"/>
      <c r="C114" s="578"/>
      <c r="D114" s="461" t="s">
        <v>36</v>
      </c>
      <c r="E114" s="454"/>
      <c r="F114" s="454"/>
      <c r="G114" s="454"/>
      <c r="H114" s="454"/>
      <c r="I114" s="454"/>
      <c r="J114" s="454"/>
      <c r="K114" s="454"/>
      <c r="L114" s="454"/>
      <c r="M114" s="454"/>
      <c r="N114" s="454"/>
      <c r="O114" s="454"/>
      <c r="P114" s="454"/>
      <c r="Q114" s="454"/>
      <c r="R114" s="454"/>
      <c r="S114" s="454"/>
      <c r="T114" s="454"/>
      <c r="U114" s="454"/>
      <c r="V114" s="564"/>
      <c r="W114" s="564"/>
      <c r="X114" s="564"/>
      <c r="Y114" s="564"/>
      <c r="Z114" s="564"/>
      <c r="AA114" s="564"/>
      <c r="AB114" s="564"/>
      <c r="AC114" s="564"/>
      <c r="AD114" s="564"/>
      <c r="AE114" s="564"/>
      <c r="AF114" s="564"/>
      <c r="AG114" s="564"/>
      <c r="AH114" s="564"/>
      <c r="AI114" s="564"/>
      <c r="AJ114" s="564"/>
      <c r="AK114" s="501"/>
      <c r="AL114" s="462"/>
      <c r="AM114" s="462"/>
      <c r="AN114" s="465"/>
    </row>
    <row r="115" spans="1:40" s="463" customFormat="1" ht="18.75" outlineLevel="1" x14ac:dyDescent="0.25">
      <c r="A115" s="79" t="s">
        <v>298</v>
      </c>
      <c r="B115" s="587" t="s">
        <v>92</v>
      </c>
      <c r="C115" s="55"/>
      <c r="D115" s="461">
        <v>5000</v>
      </c>
      <c r="E115" s="477"/>
      <c r="F115" s="477"/>
      <c r="G115" s="478"/>
      <c r="H115" s="478"/>
      <c r="I115" s="478"/>
      <c r="J115" s="478"/>
      <c r="K115" s="478"/>
      <c r="L115" s="479"/>
      <c r="M115" s="479"/>
      <c r="N115" s="479"/>
      <c r="O115" s="479"/>
      <c r="P115" s="479"/>
      <c r="Q115" s="479"/>
      <c r="R115" s="479"/>
      <c r="S115" s="479"/>
      <c r="T115" s="499"/>
      <c r="U115" s="479"/>
      <c r="V115" s="565"/>
      <c r="W115" s="565"/>
      <c r="X115" s="565"/>
      <c r="Y115" s="565"/>
      <c r="Z115" s="565"/>
      <c r="AA115" s="565"/>
      <c r="AB115" s="565"/>
      <c r="AC115" s="565"/>
      <c r="AD115" s="565"/>
      <c r="AE115" s="565"/>
      <c r="AF115" s="565"/>
      <c r="AG115" s="565"/>
      <c r="AH115" s="565"/>
      <c r="AI115" s="565"/>
      <c r="AJ115" s="565"/>
      <c r="AK115" s="501"/>
      <c r="AL115" s="462">
        <v>4633.122249</v>
      </c>
      <c r="AM115" s="462" t="e">
        <f>#REF!=AL115</f>
        <v>#REF!</v>
      </c>
      <c r="AN115" s="465"/>
    </row>
    <row r="116" spans="1:40" s="463" customFormat="1" ht="24" customHeight="1" outlineLevel="1" x14ac:dyDescent="0.25">
      <c r="A116"/>
      <c r="B116" s="588"/>
      <c r="C116" s="578"/>
      <c r="D116" s="461"/>
      <c r="E116" s="454"/>
      <c r="F116" s="454"/>
      <c r="G116" s="454"/>
      <c r="H116" s="454"/>
      <c r="I116" s="454"/>
      <c r="J116" s="454"/>
      <c r="K116" s="454"/>
      <c r="L116" s="454"/>
      <c r="M116" s="454"/>
      <c r="N116" s="454"/>
      <c r="O116" s="454"/>
      <c r="P116" s="454"/>
      <c r="Q116" s="454"/>
      <c r="R116" s="454"/>
      <c r="S116" s="454"/>
      <c r="T116" s="454"/>
      <c r="U116" s="454"/>
      <c r="V116" s="564"/>
      <c r="W116" s="564"/>
      <c r="X116" s="564"/>
      <c r="Y116" s="564"/>
      <c r="Z116" s="564"/>
      <c r="AA116" s="564"/>
      <c r="AB116" s="564"/>
      <c r="AC116" s="564"/>
      <c r="AD116" s="564"/>
      <c r="AE116" s="564"/>
      <c r="AF116" s="564"/>
      <c r="AG116" s="564"/>
      <c r="AH116" s="564"/>
      <c r="AI116" s="564"/>
      <c r="AJ116" s="564"/>
      <c r="AK116" s="437"/>
      <c r="AL116" s="480"/>
      <c r="AM116" s="481"/>
      <c r="AN116" s="465"/>
    </row>
    <row r="117" spans="1:40" s="463" customFormat="1" ht="18.75" outlineLevel="1" x14ac:dyDescent="0.25">
      <c r="A117" s="79" t="s">
        <v>299</v>
      </c>
      <c r="B117" s="445" t="s">
        <v>80</v>
      </c>
      <c r="C117" s="55"/>
      <c r="D117" s="461" t="s">
        <v>227</v>
      </c>
      <c r="E117" s="454"/>
      <c r="F117" s="454"/>
      <c r="G117" s="454"/>
      <c r="H117" s="454"/>
      <c r="I117" s="454"/>
      <c r="J117" s="454"/>
      <c r="K117" s="454"/>
      <c r="L117" s="454"/>
      <c r="M117" s="454"/>
      <c r="N117" s="454"/>
      <c r="O117" s="454"/>
      <c r="P117" s="454"/>
      <c r="Q117" s="454"/>
      <c r="R117" s="454"/>
      <c r="S117" s="454"/>
      <c r="T117" s="454"/>
      <c r="U117" s="454"/>
      <c r="V117" s="564"/>
      <c r="W117" s="564"/>
      <c r="X117" s="564"/>
      <c r="Y117" s="564"/>
      <c r="Z117" s="564"/>
      <c r="AA117" s="564"/>
      <c r="AB117" s="564"/>
      <c r="AC117" s="564"/>
      <c r="AD117" s="564"/>
      <c r="AE117" s="564"/>
      <c r="AF117" s="564"/>
      <c r="AG117" s="564"/>
      <c r="AH117" s="564"/>
      <c r="AI117" s="564"/>
      <c r="AJ117" s="564"/>
      <c r="AK117" s="437"/>
      <c r="AL117" s="462">
        <v>1116.2849669999998</v>
      </c>
      <c r="AM117" s="462" t="b">
        <f>D118=AL117</f>
        <v>0</v>
      </c>
      <c r="AN117" s="465"/>
    </row>
    <row r="118" spans="1:40" s="463" customFormat="1" ht="18.75" outlineLevel="1" x14ac:dyDescent="0.25">
      <c r="A118" s="85"/>
      <c r="B118" s="595"/>
      <c r="C118" s="578"/>
      <c r="D118" s="497">
        <v>1193.50738</v>
      </c>
      <c r="E118" s="477"/>
      <c r="F118" s="477"/>
      <c r="G118" s="478"/>
      <c r="H118" s="478"/>
      <c r="I118" s="478"/>
      <c r="J118" s="478"/>
      <c r="K118" s="478"/>
      <c r="L118" s="479"/>
      <c r="M118" s="499"/>
      <c r="N118" s="499"/>
      <c r="O118" s="499"/>
      <c r="P118" s="499"/>
      <c r="Q118" s="499"/>
      <c r="R118" s="499"/>
      <c r="S118" s="499"/>
      <c r="T118" s="499"/>
      <c r="U118" s="499"/>
      <c r="V118" s="565"/>
      <c r="W118" s="565"/>
      <c r="X118" s="565"/>
      <c r="Y118" s="565"/>
      <c r="Z118" s="565"/>
      <c r="AA118" s="565"/>
      <c r="AB118" s="565"/>
      <c r="AC118" s="565"/>
      <c r="AD118" s="565"/>
      <c r="AE118" s="565"/>
      <c r="AF118" s="565"/>
      <c r="AG118" s="565"/>
      <c r="AH118" s="565"/>
      <c r="AI118" s="565"/>
      <c r="AJ118" s="565"/>
      <c r="AK118" s="501"/>
      <c r="AL118" s="462"/>
      <c r="AM118" s="462"/>
      <c r="AN118" s="465"/>
    </row>
    <row r="119" spans="1:40" s="462" customFormat="1" ht="26.25" customHeight="1" x14ac:dyDescent="0.25">
      <c r="A119" s="79" t="s">
        <v>300</v>
      </c>
      <c r="B119" s="521" t="s">
        <v>67</v>
      </c>
      <c r="C119" s="140"/>
      <c r="D119" s="498">
        <f>D12+D14+D16+D18+D20+D22+D24+D26+D28+D30+D32+D34+D36+D38+D40+D44+D46+D48+D50+D55+D57+D59+D61+D63+D65+D67+D69+D71+D73+D76+D78+D80+D82+D84+D86+D88+D90+D92+D94+D96+D99+D101+D103+D105+D107+D109+D111+D113+D115+D118+D42</f>
        <v>213401.19738</v>
      </c>
      <c r="E119" s="500">
        <f>E12+E14+E16+E18+E20+E22+E24+E26+E28+E30+E32+E34+E36+E38+E40+E44+E46+E48+E50+E55+E57+E59+E61+E63+E65+E67+E69+E71+E73+E76+E78+E80+E82+E84+E86+E88+E90+E92+E94+E96+E99+E101+E103+E105+E107+E109+E111+E113+E115+E118</f>
        <v>0</v>
      </c>
      <c r="F119" s="500">
        <f t="shared" ref="F119:U119" si="0">F12+F14+F16+F18+F20+F22+F24+F26+F28+F30+F32+F34+F36+F38+F40+F44+F46+F48+F50+F55+F57+F59+F61+F63+F65+F67+F69+F71+F73+F76+F78+F80+F82+F84+F86+F88+F90+F92+F94+F96+F99+F101+F103+F105+F107+F109+F111+F113+F115+F118</f>
        <v>0</v>
      </c>
      <c r="G119" s="500">
        <f t="shared" si="0"/>
        <v>0</v>
      </c>
      <c r="H119" s="500">
        <f>H12+H14+H16+H18+H20+H22+H24+H26+H28+H30+H32+H34+H36+H38+H40+H44+H46+H48+H50+H55+H57+H59+H61+H63+H65+H67+H69+H71+H73+H76+H78+H80+H82+H84+H86+H88+H90+H92+H94+H96+H99+H101+H103+H105+H107+H109+H111+H113+H115+H118+H42</f>
        <v>0</v>
      </c>
      <c r="I119" s="500">
        <f t="shared" si="0"/>
        <v>0</v>
      </c>
      <c r="J119" s="500">
        <f>J12+J14+J16+J18+J20+J22+J24+J26+J28+J30+J32+J34+J36+J38+J40+J44+J46+J48+J50+J55+J57+J59+J61+J63+J65+J67+J69+J71+J73+J76+J78+J80+J82+J84+J86+J88+J90+J92+J94+J96+J99+J101+J103+J105+J107+J109+J111+J113+J115+J118+J42</f>
        <v>0</v>
      </c>
      <c r="K119" s="500">
        <f t="shared" si="0"/>
        <v>0</v>
      </c>
      <c r="L119" s="500">
        <f t="shared" si="0"/>
        <v>0</v>
      </c>
      <c r="M119" s="500">
        <f t="shared" si="0"/>
        <v>0</v>
      </c>
      <c r="N119" s="500">
        <f t="shared" si="0"/>
        <v>0</v>
      </c>
      <c r="O119" s="500">
        <f t="shared" si="0"/>
        <v>0</v>
      </c>
      <c r="P119" s="500">
        <f t="shared" si="0"/>
        <v>0</v>
      </c>
      <c r="Q119" s="500" t="e">
        <f>Q12+Q14+Q16+Q18+Q20+Q22+Q24+Q26+Q28+Q30+Q32+Q34+Q36+Q38+Q40+Q44+Q46+Q48+Q50+#REF!+Q57+Q59+Q61+Q63+Q65+Q67+Q69+Q71+Q73+Q76+Q78+Q80+Q82+Q84+Q86+Q88+Q90+Q92+Q94+Q96+Q99+Q101+Q103+Q105+Q107+Q109+Q111+Q113+Q115+Q118</f>
        <v>#REF!</v>
      </c>
      <c r="R119" s="500" t="e">
        <f>R12+R14+R16+R18+R20+R22+R24+R26+R28+R30+R32+R34+R36+R38+R40+R44+R46+R48+R50+#REF!+R57+R59+R61+R63+R65+R67+R69+R71+R73+R76+R78+R80+R82+R84+R86+R88+R90+R92+R94+R96+R99+R101+R103+R105+R107+R109+R111+R113+R115+R118</f>
        <v>#REF!</v>
      </c>
      <c r="S119" s="500" t="e">
        <f>S12+S14+S16+S18+S20+S22+S24+S26+S28+S30+S32+S34+S36+S38+S40+S44+S46+S48+S50+#REF!+S57+S59+S61+S63+S65+S67+S69+S71+S73+S76+S78+S80+S82+S84+S86+S88+S90+S92+S94+S96+S99+S101+S103+S105+S107+S109+S111+S113+S115+S118</f>
        <v>#REF!</v>
      </c>
      <c r="T119" s="500" t="e">
        <f>T12+T14+T16+T18+T20+T22+T24+T26+T28+T30+T32+T34+T36+T38+T40+T44+T46+T48+T50+#REF!+T57+T59+T61+T63+T65+T67+T69+T71+T73+T76+T78+T80+T82+T84+T86+T88+T90+T92+T94+T96+T99+T101+T103+T105+T107+T109+T111+T113+T115+T118</f>
        <v>#REF!</v>
      </c>
      <c r="U119" s="500" t="e">
        <f>U12+U14+U16+U18+U20+U22+U24+U26+U28+U30+U32+U34+U36+U38+U40+U44+U46+U48+U50+#REF!+U57+U59+U61+U63+U65+U67+U69+U71+U73+U76+U78+U80+U82+U84+U86+U88+U90+U92+U94+U96+U99+U101+U103+U105+U107+U109+U111+U113+U115+U118</f>
        <v>#REF!</v>
      </c>
      <c r="V119" s="566"/>
      <c r="W119" s="566"/>
      <c r="X119" s="566"/>
      <c r="Y119" s="566"/>
      <c r="Z119" s="566"/>
      <c r="AA119" s="566"/>
      <c r="AB119" s="566"/>
      <c r="AC119" s="566"/>
      <c r="AD119" s="566"/>
      <c r="AE119" s="566"/>
      <c r="AF119" s="566"/>
      <c r="AG119" s="566"/>
      <c r="AH119" s="566"/>
      <c r="AI119" s="566"/>
      <c r="AJ119" s="566"/>
      <c r="AK119" s="501"/>
      <c r="AL119" s="462">
        <v>474753689.80000001</v>
      </c>
      <c r="AM119" s="462" t="b">
        <f>AL119=AK119</f>
        <v>0</v>
      </c>
      <c r="AN119" s="482"/>
    </row>
    <row r="120" spans="1:40" s="462" customFormat="1" ht="37.5" customHeight="1" x14ac:dyDescent="0.3">
      <c r="A120" s="443"/>
      <c r="B120" s="522"/>
      <c r="C120" s="578"/>
      <c r="D120" s="504">
        <f>E120/D119</f>
        <v>0</v>
      </c>
      <c r="E120" s="500"/>
      <c r="F120" s="498"/>
      <c r="G120" s="500"/>
      <c r="H120" s="500">
        <f>142560/1.2</f>
        <v>118800</v>
      </c>
      <c r="I120" s="498"/>
      <c r="J120" s="498"/>
      <c r="K120" s="498"/>
      <c r="L120" s="502"/>
      <c r="M120" s="502"/>
      <c r="N120" s="502"/>
      <c r="O120" s="502"/>
      <c r="P120" s="502"/>
      <c r="Q120" s="502"/>
      <c r="R120" s="502"/>
      <c r="S120" s="502"/>
      <c r="T120" s="502"/>
      <c r="U120" s="502"/>
      <c r="V120" s="567"/>
      <c r="W120" s="567"/>
      <c r="X120" s="567"/>
      <c r="Y120" s="567"/>
      <c r="Z120" s="567"/>
      <c r="AA120" s="567"/>
      <c r="AB120" s="567"/>
      <c r="AC120" s="567"/>
      <c r="AD120" s="567"/>
      <c r="AE120" s="567"/>
      <c r="AF120" s="567"/>
      <c r="AG120" s="567"/>
      <c r="AH120" s="567"/>
      <c r="AI120" s="567"/>
      <c r="AJ120" s="567"/>
      <c r="AK120" s="503"/>
      <c r="AN120" s="482"/>
    </row>
    <row r="121" spans="1:40" s="462" customFormat="1" ht="51.75" customHeight="1" x14ac:dyDescent="0.25">
      <c r="A121" s="604" t="s">
        <v>161</v>
      </c>
      <c r="B121" s="142" t="s">
        <v>77</v>
      </c>
      <c r="C121" s="81"/>
      <c r="D121" s="505"/>
      <c r="E121" s="506"/>
      <c r="F121" s="498">
        <f>F119-F118-F123</f>
        <v>0</v>
      </c>
      <c r="G121" s="498">
        <f t="shared" ref="G121:U121" si="1">G119-G118-G123</f>
        <v>0</v>
      </c>
      <c r="H121" s="498">
        <f>H119-H118-H123</f>
        <v>0</v>
      </c>
      <c r="I121" s="498">
        <f t="shared" si="1"/>
        <v>0</v>
      </c>
      <c r="J121" s="498">
        <f t="shared" si="1"/>
        <v>0</v>
      </c>
      <c r="K121" s="498">
        <f t="shared" si="1"/>
        <v>0</v>
      </c>
      <c r="L121" s="498">
        <f t="shared" si="1"/>
        <v>0</v>
      </c>
      <c r="M121" s="498">
        <f t="shared" si="1"/>
        <v>0</v>
      </c>
      <c r="N121" s="498">
        <f t="shared" si="1"/>
        <v>0</v>
      </c>
      <c r="O121" s="498">
        <f t="shared" si="1"/>
        <v>0</v>
      </c>
      <c r="P121" s="498">
        <f t="shared" si="1"/>
        <v>0</v>
      </c>
      <c r="Q121" s="498" t="e">
        <f t="shared" si="1"/>
        <v>#REF!</v>
      </c>
      <c r="R121" s="498" t="e">
        <f t="shared" si="1"/>
        <v>#REF!</v>
      </c>
      <c r="S121" s="498" t="e">
        <f t="shared" si="1"/>
        <v>#REF!</v>
      </c>
      <c r="T121" s="498" t="e">
        <f t="shared" si="1"/>
        <v>#REF!</v>
      </c>
      <c r="U121" s="498" t="e">
        <f t="shared" si="1"/>
        <v>#REF!</v>
      </c>
      <c r="V121" s="568"/>
      <c r="W121" s="568"/>
      <c r="X121" s="568"/>
      <c r="Y121" s="568"/>
      <c r="Z121" s="568"/>
      <c r="AA121" s="568"/>
      <c r="AB121" s="568"/>
      <c r="AC121" s="568"/>
      <c r="AD121" s="568"/>
      <c r="AE121" s="568"/>
      <c r="AF121" s="568"/>
      <c r="AG121" s="568"/>
      <c r="AH121" s="568"/>
      <c r="AI121" s="568"/>
      <c r="AJ121" s="568"/>
      <c r="AK121" s="501"/>
      <c r="AN121" s="482"/>
    </row>
    <row r="122" spans="1:40" s="462" customFormat="1" ht="56.25" customHeight="1" x14ac:dyDescent="0.25">
      <c r="A122" s="79" t="s">
        <v>215</v>
      </c>
      <c r="B122" s="521" t="s">
        <v>108</v>
      </c>
      <c r="C122" s="55" t="s">
        <v>123</v>
      </c>
      <c r="D122" s="507"/>
      <c r="E122" s="506"/>
      <c r="F122" s="498"/>
      <c r="G122" s="498"/>
      <c r="H122" s="498"/>
      <c r="I122" s="498"/>
      <c r="J122" s="498"/>
      <c r="K122" s="498"/>
      <c r="L122" s="498"/>
      <c r="M122" s="498"/>
      <c r="N122" s="498"/>
      <c r="O122" s="498"/>
      <c r="P122" s="498"/>
      <c r="Q122" s="498"/>
      <c r="R122" s="498"/>
      <c r="S122" s="498"/>
      <c r="T122" s="498"/>
      <c r="U122" s="498">
        <f>T118</f>
        <v>0</v>
      </c>
      <c r="V122" s="568"/>
      <c r="W122" s="568"/>
      <c r="X122" s="568"/>
      <c r="Y122" s="568"/>
      <c r="Z122" s="568"/>
      <c r="AA122" s="568"/>
      <c r="AB122" s="568"/>
      <c r="AC122" s="568"/>
      <c r="AD122" s="568"/>
      <c r="AE122" s="568"/>
      <c r="AF122" s="568"/>
      <c r="AG122" s="568"/>
      <c r="AH122" s="568"/>
      <c r="AI122" s="568"/>
      <c r="AJ122" s="613">
        <v>1</v>
      </c>
      <c r="AK122" s="501"/>
      <c r="AN122" s="482"/>
    </row>
    <row r="123" spans="1:40" s="462" customFormat="1" ht="32.25" customHeight="1" x14ac:dyDescent="0.25">
      <c r="A123" s="513" t="s">
        <v>219</v>
      </c>
      <c r="B123" s="521"/>
      <c r="C123" s="578">
        <v>2023</v>
      </c>
      <c r="D123" s="512"/>
      <c r="E123" s="498">
        <f t="shared" ref="E123:F123" si="2">IF(E127&gt;$E$120,,E119-E118)</f>
        <v>0</v>
      </c>
      <c r="F123" s="498">
        <f t="shared" si="2"/>
        <v>0</v>
      </c>
      <c r="G123" s="498">
        <f>IF(G127&gt;$G$120,,G119-G118)</f>
        <v>0</v>
      </c>
      <c r="H123" s="498">
        <f>IF(H127&gt;$H$120,H120-H127,H119-H118)</f>
        <v>0</v>
      </c>
      <c r="I123" s="498">
        <f>IF(I127&gt;$H$120,,I119-I118)</f>
        <v>0</v>
      </c>
      <c r="J123" s="498">
        <f>IF(J127&gt;$F$118,H120-I127,J119-J118)</f>
        <v>0</v>
      </c>
      <c r="K123" s="498">
        <f t="shared" ref="K123:U123" si="3">IF(K127&gt;$H$120,,K119-K118)</f>
        <v>0</v>
      </c>
      <c r="L123" s="498">
        <f t="shared" si="3"/>
        <v>0</v>
      </c>
      <c r="M123" s="498">
        <f t="shared" si="3"/>
        <v>0</v>
      </c>
      <c r="N123" s="498">
        <f t="shared" si="3"/>
        <v>0</v>
      </c>
      <c r="O123" s="498">
        <f t="shared" si="3"/>
        <v>0</v>
      </c>
      <c r="P123" s="498">
        <f t="shared" si="3"/>
        <v>0</v>
      </c>
      <c r="Q123" s="498" t="e">
        <f t="shared" si="3"/>
        <v>#REF!</v>
      </c>
      <c r="R123" s="498" t="e">
        <f t="shared" si="3"/>
        <v>#REF!</v>
      </c>
      <c r="S123" s="498" t="e">
        <f t="shared" si="3"/>
        <v>#REF!</v>
      </c>
      <c r="T123" s="498" t="e">
        <f t="shared" si="3"/>
        <v>#REF!</v>
      </c>
      <c r="U123" s="498" t="e">
        <f t="shared" si="3"/>
        <v>#REF!</v>
      </c>
      <c r="V123" s="568"/>
      <c r="W123" s="568"/>
      <c r="X123" s="568"/>
      <c r="Y123" s="568"/>
      <c r="Z123" s="568"/>
      <c r="AA123" s="568"/>
      <c r="AB123" s="568"/>
      <c r="AC123" s="568"/>
      <c r="AD123" s="568"/>
      <c r="AE123" s="568"/>
      <c r="AF123" s="568"/>
      <c r="AG123" s="568"/>
      <c r="AH123" s="568"/>
      <c r="AI123" s="568"/>
      <c r="AJ123" s="568"/>
      <c r="AK123" s="501"/>
      <c r="AM123" s="482"/>
      <c r="AN123" s="482"/>
    </row>
    <row r="124" spans="1:40" s="462" customFormat="1" ht="48.75" hidden="1" customHeight="1" x14ac:dyDescent="0.25">
      <c r="A124" s="510" t="s">
        <v>220</v>
      </c>
      <c r="B124" s="521"/>
      <c r="C124" s="512"/>
      <c r="D124" s="512"/>
      <c r="E124" s="501">
        <f>E121+E120+E122</f>
        <v>0</v>
      </c>
      <c r="F124" s="501">
        <f>F121+F120+F122</f>
        <v>0</v>
      </c>
      <c r="G124" s="501">
        <f t="shared" ref="G124:U124" si="4">G121+G120+G122</f>
        <v>0</v>
      </c>
      <c r="H124" s="501">
        <f>H121+H120+H122</f>
        <v>118800</v>
      </c>
      <c r="I124" s="501">
        <f t="shared" si="4"/>
        <v>0</v>
      </c>
      <c r="J124" s="501">
        <f t="shared" si="4"/>
        <v>0</v>
      </c>
      <c r="K124" s="501">
        <f t="shared" si="4"/>
        <v>0</v>
      </c>
      <c r="L124" s="501">
        <f t="shared" si="4"/>
        <v>0</v>
      </c>
      <c r="M124" s="501">
        <f t="shared" si="4"/>
        <v>0</v>
      </c>
      <c r="N124" s="501">
        <f t="shared" si="4"/>
        <v>0</v>
      </c>
      <c r="O124" s="501">
        <f t="shared" si="4"/>
        <v>0</v>
      </c>
      <c r="P124" s="501">
        <f t="shared" si="4"/>
        <v>0</v>
      </c>
      <c r="Q124" s="501" t="e">
        <f t="shared" si="4"/>
        <v>#REF!</v>
      </c>
      <c r="R124" s="501" t="e">
        <f t="shared" si="4"/>
        <v>#REF!</v>
      </c>
      <c r="S124" s="501" t="e">
        <f t="shared" si="4"/>
        <v>#REF!</v>
      </c>
      <c r="T124" s="501" t="e">
        <f t="shared" si="4"/>
        <v>#REF!</v>
      </c>
      <c r="U124" s="501" t="e">
        <f t="shared" si="4"/>
        <v>#REF!</v>
      </c>
      <c r="V124" s="437"/>
      <c r="W124" s="437"/>
      <c r="X124" s="437"/>
      <c r="Y124" s="437"/>
      <c r="Z124" s="437"/>
      <c r="AA124" s="437"/>
      <c r="AB124" s="437"/>
      <c r="AC124" s="437"/>
      <c r="AD124" s="437"/>
      <c r="AE124" s="437"/>
      <c r="AF124" s="437"/>
      <c r="AG124" s="437"/>
      <c r="AH124" s="437"/>
      <c r="AI124" s="437"/>
      <c r="AJ124" s="437"/>
      <c r="AK124" s="501" t="e">
        <f t="shared" ref="AK121:AK126" si="5">F124+G124+H124+I124+J124+K124+L124+M124+N124+O124+T124+P124+Q124+R124+S124+U124+E124</f>
        <v>#REF!</v>
      </c>
      <c r="AL124" s="462">
        <v>474753689.80000001</v>
      </c>
      <c r="AM124" s="482"/>
      <c r="AN124" s="482"/>
    </row>
    <row r="125" spans="1:40" s="462" customFormat="1" ht="33" hidden="1" customHeight="1" x14ac:dyDescent="0.25">
      <c r="A125" s="513" t="s">
        <v>221</v>
      </c>
      <c r="B125" s="511" t="s">
        <v>135</v>
      </c>
      <c r="C125" s="512"/>
      <c r="D125" s="512"/>
      <c r="E125" s="501">
        <f>E124*20%</f>
        <v>0</v>
      </c>
      <c r="F125" s="501">
        <f>F124*20%</f>
        <v>0</v>
      </c>
      <c r="G125" s="501">
        <f t="shared" ref="G125:U125" si="6">G124*20%</f>
        <v>0</v>
      </c>
      <c r="H125" s="501">
        <f t="shared" si="6"/>
        <v>23760</v>
      </c>
      <c r="I125" s="501">
        <f t="shared" si="6"/>
        <v>0</v>
      </c>
      <c r="J125" s="501">
        <f t="shared" si="6"/>
        <v>0</v>
      </c>
      <c r="K125" s="501">
        <f t="shared" si="6"/>
        <v>0</v>
      </c>
      <c r="L125" s="501">
        <f t="shared" si="6"/>
        <v>0</v>
      </c>
      <c r="M125" s="501">
        <f t="shared" si="6"/>
        <v>0</v>
      </c>
      <c r="N125" s="501">
        <f t="shared" si="6"/>
        <v>0</v>
      </c>
      <c r="O125" s="501">
        <f t="shared" si="6"/>
        <v>0</v>
      </c>
      <c r="P125" s="501">
        <f t="shared" si="6"/>
        <v>0</v>
      </c>
      <c r="Q125" s="501" t="e">
        <f t="shared" si="6"/>
        <v>#REF!</v>
      </c>
      <c r="R125" s="501" t="e">
        <f t="shared" si="6"/>
        <v>#REF!</v>
      </c>
      <c r="S125" s="501" t="e">
        <f t="shared" si="6"/>
        <v>#REF!</v>
      </c>
      <c r="T125" s="501" t="e">
        <f t="shared" si="6"/>
        <v>#REF!</v>
      </c>
      <c r="U125" s="501" t="e">
        <f t="shared" si="6"/>
        <v>#REF!</v>
      </c>
      <c r="V125" s="437"/>
      <c r="W125" s="437"/>
      <c r="X125" s="437"/>
      <c r="Y125" s="437"/>
      <c r="Z125" s="437"/>
      <c r="AA125" s="437"/>
      <c r="AB125" s="437"/>
      <c r="AC125" s="437"/>
      <c r="AD125" s="437"/>
      <c r="AE125" s="437"/>
      <c r="AF125" s="437"/>
      <c r="AG125" s="437"/>
      <c r="AH125" s="437"/>
      <c r="AI125" s="437"/>
      <c r="AJ125" s="437"/>
      <c r="AK125" s="501" t="e">
        <f t="shared" si="5"/>
        <v>#REF!</v>
      </c>
      <c r="AN125" s="482"/>
    </row>
    <row r="126" spans="1:40" s="462" customFormat="1" ht="30.75" hidden="1" customHeight="1" x14ac:dyDescent="0.25">
      <c r="A126" s="510" t="s">
        <v>78</v>
      </c>
      <c r="B126" s="511" t="s">
        <v>65</v>
      </c>
      <c r="C126" s="512"/>
      <c r="D126" s="512"/>
      <c r="E126" s="501">
        <f>E124+E125</f>
        <v>0</v>
      </c>
      <c r="F126" s="501">
        <f>F124+F125</f>
        <v>0</v>
      </c>
      <c r="G126" s="501">
        <f t="shared" ref="G126:U126" si="7">G124+G125</f>
        <v>0</v>
      </c>
      <c r="H126" s="501">
        <f t="shared" si="7"/>
        <v>142560</v>
      </c>
      <c r="I126" s="501">
        <f t="shared" si="7"/>
        <v>0</v>
      </c>
      <c r="J126" s="501">
        <f t="shared" si="7"/>
        <v>0</v>
      </c>
      <c r="K126" s="501">
        <f t="shared" si="7"/>
        <v>0</v>
      </c>
      <c r="L126" s="501">
        <f t="shared" si="7"/>
        <v>0</v>
      </c>
      <c r="M126" s="501">
        <f t="shared" si="7"/>
        <v>0</v>
      </c>
      <c r="N126" s="501">
        <f t="shared" si="7"/>
        <v>0</v>
      </c>
      <c r="O126" s="501">
        <f t="shared" si="7"/>
        <v>0</v>
      </c>
      <c r="P126" s="501">
        <f t="shared" si="7"/>
        <v>0</v>
      </c>
      <c r="Q126" s="501" t="e">
        <f t="shared" si="7"/>
        <v>#REF!</v>
      </c>
      <c r="R126" s="501" t="e">
        <f t="shared" si="7"/>
        <v>#REF!</v>
      </c>
      <c r="S126" s="501" t="e">
        <f t="shared" si="7"/>
        <v>#REF!</v>
      </c>
      <c r="T126" s="501" t="e">
        <f t="shared" si="7"/>
        <v>#REF!</v>
      </c>
      <c r="U126" s="501" t="e">
        <f t="shared" si="7"/>
        <v>#REF!</v>
      </c>
      <c r="V126" s="437"/>
      <c r="W126" s="437"/>
      <c r="X126" s="437"/>
      <c r="Y126" s="437"/>
      <c r="Z126" s="437"/>
      <c r="AA126" s="437"/>
      <c r="AB126" s="437"/>
      <c r="AC126" s="437"/>
      <c r="AD126" s="437"/>
      <c r="AE126" s="437"/>
      <c r="AF126" s="437"/>
      <c r="AG126" s="437"/>
      <c r="AH126" s="437"/>
      <c r="AI126" s="437"/>
      <c r="AJ126" s="437"/>
      <c r="AK126" s="501" t="e">
        <f t="shared" si="5"/>
        <v>#REF!</v>
      </c>
      <c r="AN126" s="482"/>
    </row>
    <row r="127" spans="1:40" s="462" customFormat="1" ht="16.5" x14ac:dyDescent="0.25">
      <c r="A127" s="483"/>
      <c r="B127" s="484"/>
      <c r="C127" s="483" t="e">
        <f>(D119*1.2-AK126)*1000</f>
        <v>#REF!</v>
      </c>
      <c r="D127" s="483"/>
      <c r="E127" s="485">
        <f>E119+D127</f>
        <v>0</v>
      </c>
      <c r="F127" s="485">
        <f t="shared" ref="F127:U127" si="8">F119+E127</f>
        <v>0</v>
      </c>
      <c r="G127" s="485">
        <f>G119+F127</f>
        <v>0</v>
      </c>
      <c r="H127" s="485">
        <f>H119+G127</f>
        <v>0</v>
      </c>
      <c r="I127" s="485">
        <f t="shared" si="8"/>
        <v>0</v>
      </c>
      <c r="J127" s="485">
        <f t="shared" si="8"/>
        <v>0</v>
      </c>
      <c r="K127" s="485">
        <f t="shared" si="8"/>
        <v>0</v>
      </c>
      <c r="L127" s="485">
        <f t="shared" si="8"/>
        <v>0</v>
      </c>
      <c r="M127" s="485">
        <f t="shared" si="8"/>
        <v>0</v>
      </c>
      <c r="N127" s="485">
        <f t="shared" si="8"/>
        <v>0</v>
      </c>
      <c r="O127" s="485">
        <f t="shared" si="8"/>
        <v>0</v>
      </c>
      <c r="P127" s="485">
        <f t="shared" si="8"/>
        <v>0</v>
      </c>
      <c r="Q127" s="485" t="e">
        <f t="shared" si="8"/>
        <v>#REF!</v>
      </c>
      <c r="R127" s="485" t="e">
        <f t="shared" si="8"/>
        <v>#REF!</v>
      </c>
      <c r="S127" s="485" t="e">
        <f t="shared" si="8"/>
        <v>#REF!</v>
      </c>
      <c r="T127" s="485" t="e">
        <f t="shared" si="8"/>
        <v>#REF!</v>
      </c>
      <c r="U127" s="485" t="e">
        <f t="shared" si="8"/>
        <v>#REF!</v>
      </c>
      <c r="V127" s="569"/>
      <c r="W127" s="569"/>
      <c r="X127" s="569"/>
      <c r="Y127" s="569"/>
      <c r="Z127" s="569"/>
      <c r="AA127" s="569"/>
      <c r="AB127" s="569"/>
      <c r="AC127" s="569"/>
      <c r="AD127" s="569"/>
      <c r="AE127" s="569"/>
      <c r="AF127" s="569"/>
      <c r="AG127" s="569"/>
      <c r="AH127" s="569"/>
      <c r="AI127" s="569"/>
      <c r="AJ127" s="569"/>
    </row>
    <row r="128" spans="1:40" s="463" customFormat="1" x14ac:dyDescent="0.25">
      <c r="B128" s="486"/>
      <c r="J128" s="487"/>
      <c r="L128" s="488"/>
      <c r="U128" s="488"/>
      <c r="V128" s="570"/>
      <c r="W128" s="570"/>
      <c r="X128" s="570"/>
      <c r="Y128" s="570"/>
      <c r="Z128" s="570"/>
      <c r="AA128" s="570"/>
      <c r="AB128" s="570"/>
      <c r="AC128" s="570"/>
      <c r="AD128" s="570"/>
      <c r="AE128" s="570"/>
      <c r="AF128" s="570"/>
      <c r="AG128" s="570"/>
      <c r="AH128" s="570"/>
      <c r="AI128" s="570"/>
      <c r="AJ128" s="570"/>
      <c r="AK128" s="488"/>
      <c r="AL128" s="462"/>
      <c r="AM128" s="462"/>
    </row>
    <row r="129" spans="2:39" s="463" customFormat="1" ht="18.75" x14ac:dyDescent="0.3">
      <c r="B129" s="489"/>
      <c r="C129" s="490"/>
      <c r="D129" s="490"/>
      <c r="E129" s="490"/>
      <c r="F129" s="490"/>
      <c r="G129" s="490"/>
      <c r="H129" s="490"/>
      <c r="I129" s="490"/>
      <c r="J129" s="490"/>
      <c r="K129" s="490"/>
      <c r="L129" s="490"/>
      <c r="M129" s="489"/>
      <c r="N129" s="491"/>
      <c r="O129" s="490"/>
      <c r="P129" s="490"/>
      <c r="Q129" s="490"/>
      <c r="V129" s="487"/>
      <c r="W129" s="487"/>
      <c r="X129" s="487"/>
      <c r="Y129" s="487"/>
      <c r="Z129" s="487"/>
      <c r="AA129" s="487"/>
      <c r="AB129" s="487"/>
      <c r="AC129" s="487"/>
      <c r="AD129" s="487"/>
      <c r="AE129" s="487"/>
      <c r="AF129" s="487"/>
      <c r="AG129" s="487"/>
      <c r="AH129" s="487"/>
      <c r="AI129" s="487"/>
      <c r="AJ129" s="487"/>
      <c r="AK129" s="455"/>
      <c r="AL129" s="462"/>
      <c r="AM129" s="462"/>
    </row>
    <row r="130" spans="2:39" s="463" customFormat="1" ht="18.75" x14ac:dyDescent="0.3">
      <c r="B130" s="489"/>
      <c r="C130" s="490"/>
      <c r="D130" s="490"/>
      <c r="E130" s="490"/>
      <c r="F130" s="490"/>
      <c r="G130" s="490"/>
      <c r="H130" s="490"/>
      <c r="I130" s="490"/>
      <c r="J130" s="490"/>
      <c r="K130" s="490"/>
      <c r="L130" s="490"/>
      <c r="M130" s="489"/>
      <c r="N130" s="492"/>
      <c r="O130" s="490"/>
      <c r="P130" s="490"/>
      <c r="Q130" s="490"/>
      <c r="V130" s="487"/>
      <c r="W130" s="487"/>
      <c r="X130" s="487"/>
      <c r="Y130" s="487"/>
      <c r="Z130" s="487"/>
      <c r="AA130" s="487"/>
      <c r="AB130" s="487"/>
      <c r="AC130" s="487"/>
      <c r="AD130" s="487"/>
      <c r="AE130" s="487"/>
      <c r="AF130" s="487"/>
      <c r="AG130" s="487"/>
      <c r="AH130" s="487"/>
      <c r="AI130" s="487"/>
      <c r="AJ130" s="487"/>
      <c r="AL130" s="462"/>
      <c r="AM130" s="462"/>
    </row>
    <row r="131" spans="2:39" s="463" customFormat="1" ht="33.75" customHeight="1" x14ac:dyDescent="0.3">
      <c r="B131" s="489"/>
      <c r="C131" s="490"/>
      <c r="D131" s="490"/>
      <c r="E131" s="490"/>
      <c r="F131" s="490"/>
      <c r="G131" s="490"/>
      <c r="H131" s="490"/>
      <c r="I131" s="490"/>
      <c r="J131" s="490"/>
      <c r="K131" s="490"/>
      <c r="L131" s="490"/>
      <c r="M131" s="489"/>
      <c r="N131" s="492"/>
      <c r="O131" s="490"/>
      <c r="P131" s="490"/>
      <c r="Q131" s="490"/>
      <c r="V131" s="487"/>
      <c r="W131" s="487"/>
      <c r="X131" s="487"/>
      <c r="Y131" s="487"/>
      <c r="Z131" s="487"/>
      <c r="AA131" s="487"/>
      <c r="AB131" s="487"/>
      <c r="AC131" s="487"/>
      <c r="AD131" s="487"/>
      <c r="AE131" s="487"/>
      <c r="AF131" s="487"/>
      <c r="AG131" s="487"/>
      <c r="AH131" s="487"/>
      <c r="AI131" s="487"/>
      <c r="AJ131" s="487"/>
      <c r="AL131" s="462"/>
      <c r="AM131" s="462"/>
    </row>
    <row r="132" spans="2:39" s="462" customFormat="1" x14ac:dyDescent="0.25">
      <c r="B132" s="493"/>
      <c r="V132" s="487"/>
      <c r="W132" s="487"/>
      <c r="X132" s="487"/>
      <c r="Y132" s="487"/>
      <c r="Z132" s="487"/>
      <c r="AA132" s="487"/>
      <c r="AB132" s="487"/>
      <c r="AC132" s="487"/>
      <c r="AD132" s="487"/>
      <c r="AE132" s="487"/>
      <c r="AF132" s="487"/>
      <c r="AG132" s="487"/>
      <c r="AH132" s="487"/>
      <c r="AI132" s="487"/>
      <c r="AJ132" s="487"/>
    </row>
    <row r="133" spans="2:39" s="462" customFormat="1" x14ac:dyDescent="0.25">
      <c r="B133" s="493"/>
      <c r="V133" s="487"/>
      <c r="W133" s="487"/>
      <c r="X133" s="487"/>
      <c r="Y133" s="487"/>
      <c r="Z133" s="487"/>
      <c r="AA133" s="487"/>
      <c r="AB133" s="487"/>
      <c r="AC133" s="487"/>
      <c r="AD133" s="487"/>
      <c r="AE133" s="487"/>
      <c r="AF133" s="487"/>
      <c r="AG133" s="487"/>
      <c r="AH133" s="487"/>
      <c r="AI133" s="487"/>
      <c r="AJ133" s="487"/>
    </row>
    <row r="134" spans="2:39" s="462" customFormat="1" x14ac:dyDescent="0.25">
      <c r="B134" s="493"/>
      <c r="L134" s="494"/>
      <c r="U134" s="494"/>
      <c r="V134" s="571"/>
      <c r="W134" s="571"/>
      <c r="X134" s="571"/>
      <c r="Y134" s="571"/>
      <c r="Z134" s="571"/>
      <c r="AA134" s="571"/>
      <c r="AB134" s="571"/>
      <c r="AC134" s="571"/>
      <c r="AD134" s="571"/>
      <c r="AE134" s="571"/>
      <c r="AF134" s="571"/>
      <c r="AG134" s="571"/>
      <c r="AH134" s="571"/>
      <c r="AI134" s="571"/>
      <c r="AJ134" s="571"/>
    </row>
    <row r="135" spans="2:39" s="463" customFormat="1" x14ac:dyDescent="0.25">
      <c r="B135" s="486"/>
      <c r="J135" s="487"/>
      <c r="L135" s="495"/>
      <c r="U135" s="495"/>
      <c r="V135" s="487"/>
      <c r="W135" s="487"/>
      <c r="X135" s="487"/>
      <c r="Y135" s="487"/>
      <c r="Z135" s="487"/>
      <c r="AA135" s="487"/>
      <c r="AB135" s="487"/>
      <c r="AC135" s="487"/>
      <c r="AD135" s="487"/>
      <c r="AE135" s="487"/>
      <c r="AF135" s="487"/>
      <c r="AG135" s="487"/>
      <c r="AH135" s="487"/>
      <c r="AI135" s="487"/>
      <c r="AJ135" s="487"/>
      <c r="AL135" s="462"/>
      <c r="AM135" s="462"/>
    </row>
    <row r="136" spans="2:39" s="463" customFormat="1" x14ac:dyDescent="0.25">
      <c r="B136" s="486"/>
      <c r="J136" s="487"/>
      <c r="V136" s="487"/>
      <c r="W136" s="487"/>
      <c r="X136" s="487"/>
      <c r="Y136" s="487"/>
      <c r="Z136" s="487"/>
      <c r="AA136" s="487"/>
      <c r="AB136" s="487"/>
      <c r="AC136" s="487"/>
      <c r="AD136" s="487"/>
      <c r="AE136" s="487"/>
      <c r="AF136" s="487"/>
      <c r="AG136" s="487"/>
      <c r="AH136" s="487"/>
      <c r="AI136" s="487"/>
      <c r="AJ136" s="487"/>
      <c r="AL136" s="462"/>
      <c r="AM136" s="462"/>
    </row>
    <row r="137" spans="2:39" s="463" customFormat="1" x14ac:dyDescent="0.25">
      <c r="B137" s="486"/>
      <c r="J137" s="487"/>
      <c r="V137" s="487"/>
      <c r="W137" s="487"/>
      <c r="X137" s="487"/>
      <c r="Y137" s="487"/>
      <c r="Z137" s="487"/>
      <c r="AA137" s="487"/>
      <c r="AB137" s="487"/>
      <c r="AC137" s="487"/>
      <c r="AD137" s="487"/>
      <c r="AE137" s="487"/>
      <c r="AF137" s="487"/>
      <c r="AG137" s="487"/>
      <c r="AH137" s="487"/>
      <c r="AI137" s="487"/>
      <c r="AJ137" s="487"/>
      <c r="AL137" s="462"/>
      <c r="AM137" s="462"/>
    </row>
    <row r="138" spans="2:39" s="463" customFormat="1" x14ac:dyDescent="0.25">
      <c r="B138" s="486"/>
      <c r="J138" s="487"/>
      <c r="V138" s="487"/>
      <c r="W138" s="487"/>
      <c r="X138" s="487"/>
      <c r="Y138" s="487"/>
      <c r="Z138" s="487"/>
      <c r="AA138" s="487"/>
      <c r="AB138" s="487"/>
      <c r="AC138" s="487"/>
      <c r="AD138" s="487"/>
      <c r="AE138" s="487"/>
      <c r="AF138" s="487"/>
      <c r="AG138" s="487"/>
      <c r="AH138" s="487"/>
      <c r="AI138" s="487"/>
      <c r="AJ138" s="487"/>
      <c r="AL138" s="462"/>
      <c r="AM138" s="462"/>
    </row>
    <row r="139" spans="2:39" s="463" customFormat="1" x14ac:dyDescent="0.25">
      <c r="B139" s="486"/>
      <c r="J139" s="487"/>
      <c r="V139" s="487"/>
      <c r="W139" s="487"/>
      <c r="X139" s="487"/>
      <c r="Y139" s="487"/>
      <c r="Z139" s="487"/>
      <c r="AA139" s="487"/>
      <c r="AB139" s="487"/>
      <c r="AC139" s="487"/>
      <c r="AD139" s="487"/>
      <c r="AE139" s="487"/>
      <c r="AF139" s="487"/>
      <c r="AG139" s="487"/>
      <c r="AH139" s="487"/>
      <c r="AI139" s="487"/>
      <c r="AJ139" s="487"/>
      <c r="AL139" s="462"/>
      <c r="AM139" s="462"/>
    </row>
    <row r="140" spans="2:39" s="463" customFormat="1" x14ac:dyDescent="0.25">
      <c r="B140" s="486"/>
      <c r="J140" s="487"/>
      <c r="V140" s="487"/>
      <c r="W140" s="487"/>
      <c r="X140" s="487"/>
      <c r="Y140" s="487"/>
      <c r="Z140" s="487"/>
      <c r="AA140" s="487"/>
      <c r="AB140" s="487"/>
      <c r="AC140" s="487"/>
      <c r="AD140" s="487"/>
      <c r="AE140" s="487"/>
      <c r="AF140" s="487"/>
      <c r="AG140" s="487"/>
      <c r="AH140" s="487"/>
      <c r="AI140" s="487"/>
      <c r="AJ140" s="487"/>
      <c r="AL140" s="462"/>
      <c r="AM140" s="462"/>
    </row>
    <row r="141" spans="2:39" s="463" customFormat="1" x14ac:dyDescent="0.25">
      <c r="B141" s="486"/>
      <c r="J141" s="487"/>
      <c r="V141" s="487"/>
      <c r="W141" s="487"/>
      <c r="X141" s="487"/>
      <c r="Y141" s="487"/>
      <c r="Z141" s="487"/>
      <c r="AA141" s="487"/>
      <c r="AB141" s="487"/>
      <c r="AC141" s="487"/>
      <c r="AD141" s="487"/>
      <c r="AE141" s="487"/>
      <c r="AF141" s="487"/>
      <c r="AG141" s="487"/>
      <c r="AH141" s="487"/>
      <c r="AI141" s="487"/>
      <c r="AJ141" s="487"/>
      <c r="AL141" s="462"/>
      <c r="AM141" s="462"/>
    </row>
    <row r="142" spans="2:39" s="463" customFormat="1" x14ac:dyDescent="0.25">
      <c r="B142" s="486"/>
      <c r="J142" s="487"/>
      <c r="V142" s="487"/>
      <c r="W142" s="487"/>
      <c r="X142" s="487"/>
      <c r="Y142" s="487"/>
      <c r="Z142" s="487"/>
      <c r="AA142" s="487"/>
      <c r="AB142" s="487"/>
      <c r="AC142" s="487"/>
      <c r="AD142" s="487"/>
      <c r="AE142" s="487"/>
      <c r="AF142" s="487"/>
      <c r="AG142" s="487"/>
      <c r="AH142" s="487"/>
      <c r="AI142" s="487"/>
      <c r="AJ142" s="487"/>
      <c r="AL142" s="462"/>
      <c r="AM142" s="462"/>
    </row>
    <row r="143" spans="2:39" s="463" customFormat="1" x14ac:dyDescent="0.25">
      <c r="B143" s="486"/>
      <c r="J143" s="487"/>
      <c r="V143" s="487"/>
      <c r="W143" s="487"/>
      <c r="X143" s="487"/>
      <c r="Y143" s="487"/>
      <c r="Z143" s="487"/>
      <c r="AA143" s="487"/>
      <c r="AB143" s="487"/>
      <c r="AC143" s="487"/>
      <c r="AD143" s="487"/>
      <c r="AE143" s="487"/>
      <c r="AF143" s="487"/>
      <c r="AG143" s="487"/>
      <c r="AH143" s="487"/>
      <c r="AI143" s="487"/>
      <c r="AJ143" s="487"/>
      <c r="AL143" s="462"/>
      <c r="AM143" s="462"/>
    </row>
    <row r="144" spans="2:39" s="463" customFormat="1" x14ac:dyDescent="0.25">
      <c r="B144" s="486"/>
      <c r="J144" s="487"/>
      <c r="V144" s="487"/>
      <c r="W144" s="487"/>
      <c r="X144" s="487"/>
      <c r="Y144" s="487"/>
      <c r="Z144" s="487"/>
      <c r="AA144" s="487"/>
      <c r="AB144" s="487"/>
      <c r="AC144" s="487"/>
      <c r="AD144" s="487"/>
      <c r="AE144" s="487"/>
      <c r="AF144" s="487"/>
      <c r="AG144" s="487"/>
      <c r="AH144" s="487"/>
      <c r="AI144" s="487"/>
      <c r="AJ144" s="487"/>
      <c r="AL144" s="462"/>
      <c r="AM144" s="462"/>
    </row>
    <row r="145" spans="2:39" s="463" customFormat="1" x14ac:dyDescent="0.25">
      <c r="B145" s="486"/>
      <c r="J145" s="487"/>
      <c r="V145" s="487"/>
      <c r="W145" s="487"/>
      <c r="X145" s="487"/>
      <c r="Y145" s="487"/>
      <c r="Z145" s="487"/>
      <c r="AA145" s="487"/>
      <c r="AB145" s="487"/>
      <c r="AC145" s="487"/>
      <c r="AD145" s="487"/>
      <c r="AE145" s="487"/>
      <c r="AF145" s="487"/>
      <c r="AG145" s="487"/>
      <c r="AH145" s="487"/>
      <c r="AI145" s="487"/>
      <c r="AJ145" s="487"/>
      <c r="AL145" s="462"/>
      <c r="AM145" s="462"/>
    </row>
    <row r="146" spans="2:39" s="463" customFormat="1" x14ac:dyDescent="0.25">
      <c r="B146" s="486"/>
      <c r="J146" s="487"/>
      <c r="V146" s="487"/>
      <c r="W146" s="487"/>
      <c r="X146" s="487"/>
      <c r="Y146" s="487"/>
      <c r="Z146" s="487"/>
      <c r="AA146" s="487"/>
      <c r="AB146" s="487"/>
      <c r="AC146" s="487"/>
      <c r="AD146" s="487"/>
      <c r="AE146" s="487"/>
      <c r="AF146" s="487"/>
      <c r="AG146" s="487"/>
      <c r="AH146" s="487"/>
      <c r="AI146" s="487"/>
      <c r="AJ146" s="487"/>
      <c r="AL146" s="462"/>
      <c r="AM146" s="462"/>
    </row>
    <row r="147" spans="2:39" s="463" customFormat="1" x14ac:dyDescent="0.25">
      <c r="B147" s="486"/>
      <c r="J147" s="487"/>
      <c r="V147" s="487"/>
      <c r="W147" s="487"/>
      <c r="X147" s="487"/>
      <c r="Y147" s="487"/>
      <c r="Z147" s="487"/>
      <c r="AA147" s="487"/>
      <c r="AB147" s="487"/>
      <c r="AC147" s="487"/>
      <c r="AD147" s="487"/>
      <c r="AE147" s="487"/>
      <c r="AF147" s="487"/>
      <c r="AG147" s="487"/>
      <c r="AH147" s="487"/>
      <c r="AI147" s="487"/>
      <c r="AJ147" s="487"/>
      <c r="AL147" s="462"/>
      <c r="AM147" s="462"/>
    </row>
    <row r="148" spans="2:39" s="463" customFormat="1" x14ac:dyDescent="0.25">
      <c r="B148" s="486"/>
      <c r="J148" s="487"/>
      <c r="V148" s="487"/>
      <c r="W148" s="487"/>
      <c r="X148" s="487"/>
      <c r="Y148" s="487"/>
      <c r="Z148" s="487"/>
      <c r="AA148" s="487"/>
      <c r="AB148" s="487"/>
      <c r="AC148" s="487"/>
      <c r="AD148" s="487"/>
      <c r="AE148" s="487"/>
      <c r="AF148" s="487"/>
      <c r="AG148" s="487"/>
      <c r="AH148" s="487"/>
      <c r="AI148" s="487"/>
      <c r="AJ148" s="487"/>
      <c r="AL148" s="462"/>
      <c r="AM148" s="462"/>
    </row>
    <row r="149" spans="2:39" s="463" customFormat="1" x14ac:dyDescent="0.25">
      <c r="B149" s="486"/>
      <c r="J149" s="487"/>
      <c r="V149" s="487"/>
      <c r="W149" s="487"/>
      <c r="X149" s="487"/>
      <c r="Y149" s="487"/>
      <c r="Z149" s="487"/>
      <c r="AA149" s="487"/>
      <c r="AB149" s="487"/>
      <c r="AC149" s="487"/>
      <c r="AD149" s="487"/>
      <c r="AE149" s="487"/>
      <c r="AF149" s="487"/>
      <c r="AG149" s="487"/>
      <c r="AH149" s="487"/>
      <c r="AI149" s="487"/>
      <c r="AJ149" s="487"/>
      <c r="AL149" s="462"/>
      <c r="AM149" s="462"/>
    </row>
    <row r="150" spans="2:39" s="463" customFormat="1" x14ac:dyDescent="0.25">
      <c r="B150" s="486"/>
      <c r="J150" s="487"/>
      <c r="V150" s="487"/>
      <c r="W150" s="487"/>
      <c r="X150" s="487"/>
      <c r="Y150" s="487"/>
      <c r="Z150" s="487"/>
      <c r="AA150" s="487"/>
      <c r="AB150" s="487"/>
      <c r="AC150" s="487"/>
      <c r="AD150" s="487"/>
      <c r="AE150" s="487"/>
      <c r="AF150" s="487"/>
      <c r="AG150" s="487"/>
      <c r="AH150" s="487"/>
      <c r="AI150" s="487"/>
      <c r="AJ150" s="487"/>
      <c r="AL150" s="462"/>
      <c r="AM150" s="462"/>
    </row>
    <row r="151" spans="2:39" s="463" customFormat="1" x14ac:dyDescent="0.25">
      <c r="B151" s="486"/>
      <c r="J151" s="487"/>
      <c r="V151" s="487"/>
      <c r="W151" s="487"/>
      <c r="X151" s="487"/>
      <c r="Y151" s="487"/>
      <c r="Z151" s="487"/>
      <c r="AA151" s="487"/>
      <c r="AB151" s="487"/>
      <c r="AC151" s="487"/>
      <c r="AD151" s="487"/>
      <c r="AE151" s="487"/>
      <c r="AF151" s="487"/>
      <c r="AG151" s="487"/>
      <c r="AH151" s="487"/>
      <c r="AI151" s="487"/>
      <c r="AJ151" s="487"/>
      <c r="AL151" s="462"/>
      <c r="AM151" s="462"/>
    </row>
    <row r="152" spans="2:39" s="463" customFormat="1" x14ac:dyDescent="0.25">
      <c r="B152" s="486"/>
      <c r="J152" s="487"/>
      <c r="V152" s="487"/>
      <c r="W152" s="487"/>
      <c r="X152" s="487"/>
      <c r="Y152" s="487"/>
      <c r="Z152" s="487"/>
      <c r="AA152" s="487"/>
      <c r="AB152" s="487"/>
      <c r="AC152" s="487"/>
      <c r="AD152" s="487"/>
      <c r="AE152" s="487"/>
      <c r="AF152" s="487"/>
      <c r="AG152" s="487"/>
      <c r="AH152" s="487"/>
      <c r="AI152" s="487"/>
      <c r="AJ152" s="487"/>
      <c r="AL152" s="462"/>
      <c r="AM152" s="462"/>
    </row>
    <row r="153" spans="2:39" s="463" customFormat="1" x14ac:dyDescent="0.25">
      <c r="B153" s="486"/>
      <c r="J153" s="487"/>
      <c r="V153" s="487"/>
      <c r="W153" s="487"/>
      <c r="X153" s="487"/>
      <c r="Y153" s="487"/>
      <c r="Z153" s="487"/>
      <c r="AA153" s="487"/>
      <c r="AB153" s="487"/>
      <c r="AC153" s="487"/>
      <c r="AD153" s="487"/>
      <c r="AE153" s="487"/>
      <c r="AF153" s="487"/>
      <c r="AG153" s="487"/>
      <c r="AH153" s="487"/>
      <c r="AI153" s="487"/>
      <c r="AJ153" s="487"/>
      <c r="AL153" s="462"/>
      <c r="AM153" s="462"/>
    </row>
    <row r="154" spans="2:39" s="463" customFormat="1" x14ac:dyDescent="0.25">
      <c r="B154" s="486"/>
      <c r="J154" s="487"/>
      <c r="V154" s="487"/>
      <c r="W154" s="487"/>
      <c r="X154" s="487"/>
      <c r="Y154" s="487"/>
      <c r="Z154" s="487"/>
      <c r="AA154" s="487"/>
      <c r="AB154" s="487"/>
      <c r="AC154" s="487"/>
      <c r="AD154" s="487"/>
      <c r="AE154" s="487"/>
      <c r="AF154" s="487"/>
      <c r="AG154" s="487"/>
      <c r="AH154" s="487"/>
      <c r="AI154" s="487"/>
      <c r="AJ154" s="487"/>
      <c r="AL154" s="462"/>
      <c r="AM154" s="462"/>
    </row>
    <row r="155" spans="2:39" s="463" customFormat="1" x14ac:dyDescent="0.25">
      <c r="B155" s="486"/>
      <c r="J155" s="487"/>
      <c r="V155" s="487"/>
      <c r="W155" s="487"/>
      <c r="X155" s="487"/>
      <c r="Y155" s="487"/>
      <c r="Z155" s="487"/>
      <c r="AA155" s="487"/>
      <c r="AB155" s="487"/>
      <c r="AC155" s="487"/>
      <c r="AD155" s="487"/>
      <c r="AE155" s="487"/>
      <c r="AF155" s="487"/>
      <c r="AG155" s="487"/>
      <c r="AH155" s="487"/>
      <c r="AI155" s="487"/>
      <c r="AJ155" s="487"/>
      <c r="AL155" s="462"/>
      <c r="AM155" s="462"/>
    </row>
    <row r="156" spans="2:39" s="463" customFormat="1" x14ac:dyDescent="0.25">
      <c r="B156" s="486"/>
      <c r="J156" s="487"/>
      <c r="V156" s="487"/>
      <c r="W156" s="487"/>
      <c r="X156" s="487"/>
      <c r="Y156" s="487"/>
      <c r="Z156" s="487"/>
      <c r="AA156" s="487"/>
      <c r="AB156" s="487"/>
      <c r="AC156" s="487"/>
      <c r="AD156" s="487"/>
      <c r="AE156" s="487"/>
      <c r="AF156" s="487"/>
      <c r="AG156" s="487"/>
      <c r="AH156" s="487"/>
      <c r="AI156" s="487"/>
      <c r="AJ156" s="487"/>
      <c r="AL156" s="462"/>
      <c r="AM156" s="462"/>
    </row>
    <row r="157" spans="2:39" s="463" customFormat="1" x14ac:dyDescent="0.25">
      <c r="B157" s="486"/>
      <c r="J157" s="487"/>
      <c r="V157" s="487"/>
      <c r="W157" s="487"/>
      <c r="X157" s="487"/>
      <c r="Y157" s="487"/>
      <c r="Z157" s="487"/>
      <c r="AA157" s="487"/>
      <c r="AB157" s="487"/>
      <c r="AC157" s="487"/>
      <c r="AD157" s="487"/>
      <c r="AE157" s="487"/>
      <c r="AF157" s="487"/>
      <c r="AG157" s="487"/>
      <c r="AH157" s="487"/>
      <c r="AI157" s="487"/>
      <c r="AJ157" s="487"/>
      <c r="AL157" s="462"/>
      <c r="AM157" s="462"/>
    </row>
    <row r="158" spans="2:39" s="463" customFormat="1" x14ac:dyDescent="0.25">
      <c r="B158" s="486"/>
      <c r="J158" s="487"/>
      <c r="V158" s="487"/>
      <c r="W158" s="487"/>
      <c r="X158" s="487"/>
      <c r="Y158" s="487"/>
      <c r="Z158" s="487"/>
      <c r="AA158" s="487"/>
      <c r="AB158" s="487"/>
      <c r="AC158" s="487"/>
      <c r="AD158" s="487"/>
      <c r="AE158" s="487"/>
      <c r="AF158" s="487"/>
      <c r="AG158" s="487"/>
      <c r="AH158" s="487"/>
      <c r="AI158" s="487"/>
      <c r="AJ158" s="487"/>
      <c r="AL158" s="462"/>
      <c r="AM158" s="462"/>
    </row>
    <row r="159" spans="2:39" s="463" customFormat="1" x14ac:dyDescent="0.25">
      <c r="B159" s="486"/>
      <c r="J159" s="487"/>
      <c r="V159" s="487"/>
      <c r="W159" s="487"/>
      <c r="X159" s="487"/>
      <c r="Y159" s="487"/>
      <c r="Z159" s="487"/>
      <c r="AA159" s="487"/>
      <c r="AB159" s="487"/>
      <c r="AC159" s="487"/>
      <c r="AD159" s="487"/>
      <c r="AE159" s="487"/>
      <c r="AF159" s="487"/>
      <c r="AG159" s="487"/>
      <c r="AH159" s="487"/>
      <c r="AI159" s="487"/>
      <c r="AJ159" s="487"/>
      <c r="AL159" s="462"/>
      <c r="AM159" s="462"/>
    </row>
    <row r="160" spans="2:39" s="463" customFormat="1" x14ac:dyDescent="0.25">
      <c r="B160" s="486"/>
      <c r="J160" s="487"/>
      <c r="V160" s="487"/>
      <c r="W160" s="487"/>
      <c r="X160" s="487"/>
      <c r="Y160" s="487"/>
      <c r="Z160" s="487"/>
      <c r="AA160" s="487"/>
      <c r="AB160" s="487"/>
      <c r="AC160" s="487"/>
      <c r="AD160" s="487"/>
      <c r="AE160" s="487"/>
      <c r="AF160" s="487"/>
      <c r="AG160" s="487"/>
      <c r="AH160" s="487"/>
      <c r="AI160" s="487"/>
      <c r="AJ160" s="487"/>
      <c r="AL160" s="462"/>
      <c r="AM160" s="462"/>
    </row>
    <row r="161" spans="2:39" s="463" customFormat="1" x14ac:dyDescent="0.25">
      <c r="B161" s="486"/>
      <c r="J161" s="487"/>
      <c r="V161" s="487"/>
      <c r="W161" s="487"/>
      <c r="X161" s="487"/>
      <c r="Y161" s="487"/>
      <c r="Z161" s="487"/>
      <c r="AA161" s="487"/>
      <c r="AB161" s="487"/>
      <c r="AC161" s="487"/>
      <c r="AD161" s="487"/>
      <c r="AE161" s="487"/>
      <c r="AF161" s="487"/>
      <c r="AG161" s="487"/>
      <c r="AH161" s="487"/>
      <c r="AI161" s="487"/>
      <c r="AJ161" s="487"/>
      <c r="AL161" s="462"/>
      <c r="AM161" s="462"/>
    </row>
    <row r="162" spans="2:39" s="463" customFormat="1" x14ac:dyDescent="0.25">
      <c r="B162" s="486"/>
      <c r="J162" s="487"/>
      <c r="V162" s="487"/>
      <c r="W162" s="487"/>
      <c r="X162" s="487"/>
      <c r="Y162" s="487"/>
      <c r="Z162" s="487"/>
      <c r="AA162" s="487"/>
      <c r="AB162" s="487"/>
      <c r="AC162" s="487"/>
      <c r="AD162" s="487"/>
      <c r="AE162" s="487"/>
      <c r="AF162" s="487"/>
      <c r="AG162" s="487"/>
      <c r="AH162" s="487"/>
      <c r="AI162" s="487"/>
      <c r="AJ162" s="487"/>
      <c r="AL162" s="462"/>
      <c r="AM162" s="462"/>
    </row>
    <row r="163" spans="2:39" s="463" customFormat="1" x14ac:dyDescent="0.25">
      <c r="B163" s="486"/>
      <c r="J163" s="487"/>
      <c r="V163" s="487"/>
      <c r="W163" s="487"/>
      <c r="X163" s="487"/>
      <c r="Y163" s="487"/>
      <c r="Z163" s="487"/>
      <c r="AA163" s="487"/>
      <c r="AB163" s="487"/>
      <c r="AC163" s="487"/>
      <c r="AD163" s="487"/>
      <c r="AE163" s="487"/>
      <c r="AF163" s="487"/>
      <c r="AG163" s="487"/>
      <c r="AH163" s="487"/>
      <c r="AI163" s="487"/>
      <c r="AJ163" s="487"/>
      <c r="AL163" s="462"/>
      <c r="AM163" s="462"/>
    </row>
    <row r="164" spans="2:39" s="463" customFormat="1" x14ac:dyDescent="0.25">
      <c r="B164" s="486"/>
      <c r="J164" s="487"/>
      <c r="V164" s="487"/>
      <c r="W164" s="487"/>
      <c r="X164" s="487"/>
      <c r="Y164" s="487"/>
      <c r="Z164" s="487"/>
      <c r="AA164" s="487"/>
      <c r="AB164" s="487"/>
      <c r="AC164" s="487"/>
      <c r="AD164" s="487"/>
      <c r="AE164" s="487"/>
      <c r="AF164" s="487"/>
      <c r="AG164" s="487"/>
      <c r="AH164" s="487"/>
      <c r="AI164" s="487"/>
      <c r="AJ164" s="487"/>
      <c r="AL164" s="462"/>
      <c r="AM164" s="462"/>
    </row>
    <row r="165" spans="2:39" s="463" customFormat="1" x14ac:dyDescent="0.25">
      <c r="B165" s="486"/>
      <c r="J165" s="487"/>
      <c r="V165" s="487"/>
      <c r="W165" s="487"/>
      <c r="X165" s="487"/>
      <c r="Y165" s="487"/>
      <c r="Z165" s="487"/>
      <c r="AA165" s="487"/>
      <c r="AB165" s="487"/>
      <c r="AC165" s="487"/>
      <c r="AD165" s="487"/>
      <c r="AE165" s="487"/>
      <c r="AF165" s="487"/>
      <c r="AG165" s="487"/>
      <c r="AH165" s="487"/>
      <c r="AI165" s="487"/>
      <c r="AJ165" s="487"/>
      <c r="AL165" s="462"/>
      <c r="AM165" s="462"/>
    </row>
    <row r="166" spans="2:39" s="463" customFormat="1" x14ac:dyDescent="0.25">
      <c r="B166" s="486"/>
      <c r="J166" s="487"/>
      <c r="V166" s="487"/>
      <c r="W166" s="487"/>
      <c r="X166" s="487"/>
      <c r="Y166" s="487"/>
      <c r="Z166" s="487"/>
      <c r="AA166" s="487"/>
      <c r="AB166" s="487"/>
      <c r="AC166" s="487"/>
      <c r="AD166" s="487"/>
      <c r="AE166" s="487"/>
      <c r="AF166" s="487"/>
      <c r="AG166" s="487"/>
      <c r="AH166" s="487"/>
      <c r="AI166" s="487"/>
      <c r="AJ166" s="487"/>
      <c r="AL166" s="462"/>
      <c r="AM166" s="462"/>
    </row>
    <row r="167" spans="2:39" s="463" customFormat="1" x14ac:dyDescent="0.25">
      <c r="B167" s="486"/>
      <c r="J167" s="487"/>
      <c r="V167" s="487"/>
      <c r="W167" s="487"/>
      <c r="X167" s="487"/>
      <c r="Y167" s="487"/>
      <c r="Z167" s="487"/>
      <c r="AA167" s="487"/>
      <c r="AB167" s="487"/>
      <c r="AC167" s="487"/>
      <c r="AD167" s="487"/>
      <c r="AE167" s="487"/>
      <c r="AF167" s="487"/>
      <c r="AG167" s="487"/>
      <c r="AH167" s="487"/>
      <c r="AI167" s="487"/>
      <c r="AJ167" s="487"/>
      <c r="AL167" s="462"/>
      <c r="AM167" s="462"/>
    </row>
    <row r="168" spans="2:39" s="463" customFormat="1" x14ac:dyDescent="0.25">
      <c r="B168" s="486"/>
      <c r="J168" s="487"/>
      <c r="V168" s="487"/>
      <c r="W168" s="487"/>
      <c r="X168" s="487"/>
      <c r="Y168" s="487"/>
      <c r="Z168" s="487"/>
      <c r="AA168" s="487"/>
      <c r="AB168" s="487"/>
      <c r="AC168" s="487"/>
      <c r="AD168" s="487"/>
      <c r="AE168" s="487"/>
      <c r="AF168" s="487"/>
      <c r="AG168" s="487"/>
      <c r="AH168" s="487"/>
      <c r="AI168" s="487"/>
      <c r="AJ168" s="487"/>
      <c r="AL168" s="462"/>
      <c r="AM168" s="462"/>
    </row>
    <row r="169" spans="2:39" s="463" customFormat="1" x14ac:dyDescent="0.25">
      <c r="B169" s="486"/>
      <c r="J169" s="487"/>
      <c r="V169" s="487"/>
      <c r="W169" s="487"/>
      <c r="X169" s="487"/>
      <c r="Y169" s="487"/>
      <c r="Z169" s="487"/>
      <c r="AA169" s="487"/>
      <c r="AB169" s="487"/>
      <c r="AC169" s="487"/>
      <c r="AD169" s="487"/>
      <c r="AE169" s="487"/>
      <c r="AF169" s="487"/>
      <c r="AG169" s="487"/>
      <c r="AH169" s="487"/>
      <c r="AI169" s="487"/>
      <c r="AJ169" s="487"/>
      <c r="AL169" s="462"/>
      <c r="AM169" s="462"/>
    </row>
    <row r="170" spans="2:39" s="463" customFormat="1" x14ac:dyDescent="0.25">
      <c r="B170" s="486"/>
      <c r="J170" s="487"/>
      <c r="V170" s="487"/>
      <c r="W170" s="487"/>
      <c r="X170" s="487"/>
      <c r="Y170" s="487"/>
      <c r="Z170" s="487"/>
      <c r="AA170" s="487"/>
      <c r="AB170" s="487"/>
      <c r="AC170" s="487"/>
      <c r="AD170" s="487"/>
      <c r="AE170" s="487"/>
      <c r="AF170" s="487"/>
      <c r="AG170" s="487"/>
      <c r="AH170" s="487"/>
      <c r="AI170" s="487"/>
      <c r="AJ170" s="487"/>
      <c r="AL170" s="462"/>
      <c r="AM170" s="462"/>
    </row>
    <row r="171" spans="2:39" s="463" customFormat="1" x14ac:dyDescent="0.25">
      <c r="B171" s="486"/>
      <c r="J171" s="487"/>
      <c r="V171" s="487"/>
      <c r="W171" s="487"/>
      <c r="X171" s="487"/>
      <c r="Y171" s="487"/>
      <c r="Z171" s="487"/>
      <c r="AA171" s="487"/>
      <c r="AB171" s="487"/>
      <c r="AC171" s="487"/>
      <c r="AD171" s="487"/>
      <c r="AE171" s="487"/>
      <c r="AF171" s="487"/>
      <c r="AG171" s="487"/>
      <c r="AH171" s="487"/>
      <c r="AI171" s="487"/>
      <c r="AJ171" s="487"/>
      <c r="AL171" s="462"/>
      <c r="AM171" s="462"/>
    </row>
    <row r="172" spans="2:39" s="463" customFormat="1" x14ac:dyDescent="0.25">
      <c r="B172" s="486"/>
      <c r="J172" s="487"/>
      <c r="V172" s="487"/>
      <c r="W172" s="487"/>
      <c r="X172" s="487"/>
      <c r="Y172" s="487"/>
      <c r="Z172" s="487"/>
      <c r="AA172" s="487"/>
      <c r="AB172" s="487"/>
      <c r="AC172" s="487"/>
      <c r="AD172" s="487"/>
      <c r="AE172" s="487"/>
      <c r="AF172" s="487"/>
      <c r="AG172" s="487"/>
      <c r="AH172" s="487"/>
      <c r="AI172" s="487"/>
      <c r="AJ172" s="487"/>
      <c r="AL172" s="462"/>
      <c r="AM172" s="462"/>
    </row>
    <row r="173" spans="2:39" s="463" customFormat="1" x14ac:dyDescent="0.25">
      <c r="B173" s="486"/>
      <c r="J173" s="487"/>
      <c r="V173" s="487"/>
      <c r="W173" s="487"/>
      <c r="X173" s="487"/>
      <c r="Y173" s="487"/>
      <c r="Z173" s="487"/>
      <c r="AA173" s="487"/>
      <c r="AB173" s="487"/>
      <c r="AC173" s="487"/>
      <c r="AD173" s="487"/>
      <c r="AE173" s="487"/>
      <c r="AF173" s="487"/>
      <c r="AG173" s="487"/>
      <c r="AH173" s="487"/>
      <c r="AI173" s="487"/>
      <c r="AJ173" s="487"/>
      <c r="AL173" s="462"/>
      <c r="AM173" s="462"/>
    </row>
    <row r="174" spans="2:39" s="463" customFormat="1" x14ac:dyDescent="0.25">
      <c r="B174" s="486"/>
      <c r="J174" s="487"/>
      <c r="V174" s="487"/>
      <c r="W174" s="487"/>
      <c r="X174" s="487"/>
      <c r="Y174" s="487"/>
      <c r="Z174" s="487"/>
      <c r="AA174" s="487"/>
      <c r="AB174" s="487"/>
      <c r="AC174" s="487"/>
      <c r="AD174" s="487"/>
      <c r="AE174" s="487"/>
      <c r="AF174" s="487"/>
      <c r="AG174" s="487"/>
      <c r="AH174" s="487"/>
      <c r="AI174" s="487"/>
      <c r="AJ174" s="487"/>
      <c r="AL174" s="462"/>
      <c r="AM174" s="462"/>
    </row>
    <row r="175" spans="2:39" s="463" customFormat="1" x14ac:dyDescent="0.25">
      <c r="B175" s="486"/>
      <c r="J175" s="487"/>
      <c r="V175" s="487"/>
      <c r="W175" s="487"/>
      <c r="X175" s="487"/>
      <c r="Y175" s="487"/>
      <c r="Z175" s="487"/>
      <c r="AA175" s="487"/>
      <c r="AB175" s="487"/>
      <c r="AC175" s="487"/>
      <c r="AD175" s="487"/>
      <c r="AE175" s="487"/>
      <c r="AF175" s="487"/>
      <c r="AG175" s="487"/>
      <c r="AH175" s="487"/>
      <c r="AI175" s="487"/>
      <c r="AJ175" s="487"/>
      <c r="AL175" s="462"/>
      <c r="AM175" s="462"/>
    </row>
    <row r="176" spans="2:39" s="463" customFormat="1" x14ac:dyDescent="0.25">
      <c r="B176" s="486"/>
      <c r="J176" s="487"/>
      <c r="V176" s="487"/>
      <c r="W176" s="487"/>
      <c r="X176" s="487"/>
      <c r="Y176" s="487"/>
      <c r="Z176" s="487"/>
      <c r="AA176" s="487"/>
      <c r="AB176" s="487"/>
      <c r="AC176" s="487"/>
      <c r="AD176" s="487"/>
      <c r="AE176" s="487"/>
      <c r="AF176" s="487"/>
      <c r="AG176" s="487"/>
      <c r="AH176" s="487"/>
      <c r="AI176" s="487"/>
      <c r="AJ176" s="487"/>
      <c r="AL176" s="462"/>
      <c r="AM176" s="462"/>
    </row>
    <row r="177" spans="2:39" s="463" customFormat="1" x14ac:dyDescent="0.25">
      <c r="B177" s="486"/>
      <c r="J177" s="487"/>
      <c r="V177" s="487"/>
      <c r="W177" s="487"/>
      <c r="X177" s="487"/>
      <c r="Y177" s="487"/>
      <c r="Z177" s="487"/>
      <c r="AA177" s="487"/>
      <c r="AB177" s="487"/>
      <c r="AC177" s="487"/>
      <c r="AD177" s="487"/>
      <c r="AE177" s="487"/>
      <c r="AF177" s="487"/>
      <c r="AG177" s="487"/>
      <c r="AH177" s="487"/>
      <c r="AI177" s="487"/>
      <c r="AJ177" s="487"/>
      <c r="AL177" s="462"/>
      <c r="AM177" s="462"/>
    </row>
    <row r="178" spans="2:39" s="463" customFormat="1" x14ac:dyDescent="0.25">
      <c r="B178" s="486"/>
      <c r="J178" s="487"/>
      <c r="V178" s="487"/>
      <c r="W178" s="487"/>
      <c r="X178" s="487"/>
      <c r="Y178" s="487"/>
      <c r="Z178" s="487"/>
      <c r="AA178" s="487"/>
      <c r="AB178" s="487"/>
      <c r="AC178" s="487"/>
      <c r="AD178" s="487"/>
      <c r="AE178" s="487"/>
      <c r="AF178" s="487"/>
      <c r="AG178" s="487"/>
      <c r="AH178" s="487"/>
      <c r="AI178" s="487"/>
      <c r="AJ178" s="487"/>
      <c r="AL178" s="462"/>
      <c r="AM178" s="462"/>
    </row>
    <row r="179" spans="2:39" s="463" customFormat="1" x14ac:dyDescent="0.25">
      <c r="B179" s="486"/>
      <c r="J179" s="487"/>
      <c r="V179" s="487"/>
      <c r="W179" s="487"/>
      <c r="X179" s="487"/>
      <c r="Y179" s="487"/>
      <c r="Z179" s="487"/>
      <c r="AA179" s="487"/>
      <c r="AB179" s="487"/>
      <c r="AC179" s="487"/>
      <c r="AD179" s="487"/>
      <c r="AE179" s="487"/>
      <c r="AF179" s="487"/>
      <c r="AG179" s="487"/>
      <c r="AH179" s="487"/>
      <c r="AI179" s="487"/>
      <c r="AJ179" s="487"/>
      <c r="AL179" s="462"/>
      <c r="AM179" s="462"/>
    </row>
    <row r="180" spans="2:39" s="463" customFormat="1" x14ac:dyDescent="0.25">
      <c r="B180" s="486"/>
      <c r="J180" s="487"/>
      <c r="V180" s="487"/>
      <c r="W180" s="487"/>
      <c r="X180" s="487"/>
      <c r="Y180" s="487"/>
      <c r="Z180" s="487"/>
      <c r="AA180" s="487"/>
      <c r="AB180" s="487"/>
      <c r="AC180" s="487"/>
      <c r="AD180" s="487"/>
      <c r="AE180" s="487"/>
      <c r="AF180" s="487"/>
      <c r="AG180" s="487"/>
      <c r="AH180" s="487"/>
      <c r="AI180" s="487"/>
      <c r="AJ180" s="487"/>
      <c r="AL180" s="462"/>
      <c r="AM180" s="462"/>
    </row>
    <row r="181" spans="2:39" s="463" customFormat="1" x14ac:dyDescent="0.25">
      <c r="B181" s="486"/>
      <c r="J181" s="487"/>
      <c r="V181" s="487"/>
      <c r="W181" s="487"/>
      <c r="X181" s="487"/>
      <c r="Y181" s="487"/>
      <c r="Z181" s="487"/>
      <c r="AA181" s="487"/>
      <c r="AB181" s="487"/>
      <c r="AC181" s="487"/>
      <c r="AD181" s="487"/>
      <c r="AE181" s="487"/>
      <c r="AF181" s="487"/>
      <c r="AG181" s="487"/>
      <c r="AH181" s="487"/>
      <c r="AI181" s="487"/>
      <c r="AJ181" s="487"/>
      <c r="AL181" s="462"/>
      <c r="AM181" s="462"/>
    </row>
    <row r="182" spans="2:39" s="463" customFormat="1" x14ac:dyDescent="0.25">
      <c r="B182" s="486"/>
      <c r="J182" s="487"/>
      <c r="V182" s="487"/>
      <c r="W182" s="487"/>
      <c r="X182" s="487"/>
      <c r="Y182" s="487"/>
      <c r="Z182" s="487"/>
      <c r="AA182" s="487"/>
      <c r="AB182" s="487"/>
      <c r="AC182" s="487"/>
      <c r="AD182" s="487"/>
      <c r="AE182" s="487"/>
      <c r="AF182" s="487"/>
      <c r="AG182" s="487"/>
      <c r="AH182" s="487"/>
      <c r="AI182" s="487"/>
      <c r="AJ182" s="487"/>
      <c r="AL182" s="462"/>
      <c r="AM182" s="462"/>
    </row>
    <row r="183" spans="2:39" s="463" customFormat="1" x14ac:dyDescent="0.25">
      <c r="B183" s="486"/>
      <c r="J183" s="487"/>
      <c r="V183" s="487"/>
      <c r="W183" s="487"/>
      <c r="X183" s="487"/>
      <c r="Y183" s="487"/>
      <c r="Z183" s="487"/>
      <c r="AA183" s="487"/>
      <c r="AB183" s="487"/>
      <c r="AC183" s="487"/>
      <c r="AD183" s="487"/>
      <c r="AE183" s="487"/>
      <c r="AF183" s="487"/>
      <c r="AG183" s="487"/>
      <c r="AH183" s="487"/>
      <c r="AI183" s="487"/>
      <c r="AJ183" s="487"/>
      <c r="AL183" s="462"/>
      <c r="AM183" s="462"/>
    </row>
  </sheetData>
  <mergeCells count="47">
    <mergeCell ref="B109:B110"/>
    <mergeCell ref="B115:B116"/>
    <mergeCell ref="A53:A54"/>
    <mergeCell ref="A55:A56"/>
    <mergeCell ref="A77:A78"/>
    <mergeCell ref="A101:A102"/>
    <mergeCell ref="B81:B82"/>
    <mergeCell ref="B83:B84"/>
    <mergeCell ref="B97:B98"/>
    <mergeCell ref="B99:B100"/>
    <mergeCell ref="B101:B102"/>
    <mergeCell ref="B15:B16"/>
    <mergeCell ref="B35:B36"/>
    <mergeCell ref="B51:B52"/>
    <mergeCell ref="B53:B54"/>
    <mergeCell ref="B55:B56"/>
    <mergeCell ref="B77:B78"/>
    <mergeCell ref="B89:B90"/>
    <mergeCell ref="B91:B92"/>
    <mergeCell ref="B93:B94"/>
    <mergeCell ref="B95:B96"/>
    <mergeCell ref="B69:B70"/>
    <mergeCell ref="B71:B72"/>
    <mergeCell ref="B73:B74"/>
    <mergeCell ref="B75:B76"/>
    <mergeCell ref="B39:B40"/>
    <mergeCell ref="B41:B42"/>
    <mergeCell ref="B43:B44"/>
    <mergeCell ref="B45:B46"/>
    <mergeCell ref="B47:B48"/>
    <mergeCell ref="B49:B50"/>
    <mergeCell ref="B59:B60"/>
    <mergeCell ref="B65:B66"/>
    <mergeCell ref="B67:B68"/>
    <mergeCell ref="B33:B34"/>
    <mergeCell ref="A4:AK4"/>
    <mergeCell ref="A6:A8"/>
    <mergeCell ref="B6:B8"/>
    <mergeCell ref="C6:C8"/>
    <mergeCell ref="D6:D8"/>
    <mergeCell ref="E6:L7"/>
    <mergeCell ref="AK6:AK8"/>
    <mergeCell ref="B27:B28"/>
    <mergeCell ref="B29:B30"/>
    <mergeCell ref="B31:B32"/>
    <mergeCell ref="M6:X7"/>
    <mergeCell ref="Y6:AJ7"/>
  </mergeCells>
  <conditionalFormatting sqref="AK12 AK16 AK18 AK20 AK22 AK24 AK26 AK28 AK30 AK32 AK34 AK36 AK38 AK40 AK46 AK48 AK50:AK52 AK57 AK59 AK61 AK63 AK65 AK67 AK69 AK71 AK73 AK78 AK80 AK82 AK84 AK86 AK88 AK90 AK92 AK94 AK96 AK101 AK103 AK105 AK107 AK109 AK111 AK113 AK115">
    <cfRule type="cellIs" dxfId="15" priority="15" operator="notEqual">
      <formula>D12</formula>
    </cfRule>
    <cfRule type="expression" dxfId="14" priority="16">
      <formula>"&lt;&gt;D12"</formula>
    </cfRule>
  </conditionalFormatting>
  <conditionalFormatting sqref="AK14">
    <cfRule type="cellIs" dxfId="13" priority="13" operator="notEqual">
      <formula>D14</formula>
    </cfRule>
    <cfRule type="expression" dxfId="12" priority="14">
      <formula>"&lt;&gt;D12"</formula>
    </cfRule>
  </conditionalFormatting>
  <conditionalFormatting sqref="AK44">
    <cfRule type="cellIs" dxfId="11" priority="11" operator="notEqual">
      <formula>D44</formula>
    </cfRule>
    <cfRule type="expression" dxfId="10" priority="12">
      <formula>"&lt;&gt;D12"</formula>
    </cfRule>
  </conditionalFormatting>
  <conditionalFormatting sqref="AK55">
    <cfRule type="cellIs" dxfId="9" priority="9" operator="notEqual">
      <formula>D55</formula>
    </cfRule>
    <cfRule type="expression" dxfId="8" priority="10">
      <formula>"&lt;&gt;D12"</formula>
    </cfRule>
  </conditionalFormatting>
  <conditionalFormatting sqref="AK76">
    <cfRule type="cellIs" dxfId="7" priority="7" operator="notEqual">
      <formula>D76</formula>
    </cfRule>
    <cfRule type="expression" dxfId="6" priority="8">
      <formula>"&lt;&gt;D12"</formula>
    </cfRule>
  </conditionalFormatting>
  <conditionalFormatting sqref="AK99">
    <cfRule type="cellIs" dxfId="5" priority="5" operator="notEqual">
      <formula>D99</formula>
    </cfRule>
    <cfRule type="expression" dxfId="4" priority="6">
      <formula>"&lt;&gt;D12"</formula>
    </cfRule>
  </conditionalFormatting>
  <conditionalFormatting sqref="AK118">
    <cfRule type="cellIs" dxfId="3" priority="3" operator="notEqual">
      <formula>D118</formula>
    </cfRule>
    <cfRule type="expression" dxfId="2" priority="4">
      <formula>"&lt;&gt;D12"</formula>
    </cfRule>
  </conditionalFormatting>
  <conditionalFormatting sqref="AK119">
    <cfRule type="cellIs" dxfId="1" priority="1" operator="notEqual">
      <formula>D119</formula>
    </cfRule>
    <cfRule type="expression" dxfId="0" priority="2">
      <formula>"&lt;&gt;D12"</formula>
    </cfRule>
  </conditionalFormatting>
  <printOptions horizontalCentered="1"/>
  <pageMargins left="0.7" right="0.7" top="0.75" bottom="0.75" header="0.3" footer="0.3"/>
  <pageSetup paperSize="8" scale="25" orientation="landscape" r:id="rId1"/>
  <rowBreaks count="1" manualBreakCount="1">
    <brk id="74" max="38" man="1"/>
  </rowBreaks>
  <colBreaks count="1" manualBreakCount="1">
    <brk id="12" max="126" man="1"/>
  </colBreaks>
  <ignoredErrors>
    <ignoredError sqref="AM115" evalError="1"/>
    <ignoredError sqref="H119:J1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128"/>
  <sheetViews>
    <sheetView topLeftCell="A15" zoomScale="75" zoomScaleNormal="75" workbookViewId="0">
      <pane xSplit="9" ySplit="9" topLeftCell="J63" activePane="bottomRight" state="frozen"/>
      <selection activeCell="X73" sqref="X73"/>
      <selection pane="topRight" activeCell="X73" sqref="X73"/>
      <selection pane="bottomLeft" activeCell="X73" sqref="X73"/>
      <selection pane="bottomRight" activeCell="X73" sqref="X73"/>
    </sheetView>
  </sheetViews>
  <sheetFormatPr defaultColWidth="8.7109375" defaultRowHeight="15.75" outlineLevelRow="1" outlineLevelCol="1" x14ac:dyDescent="0.25"/>
  <cols>
    <col min="1" max="1" width="7.28515625" style="1" customWidth="1"/>
    <col min="2" max="2" width="67.7109375" style="2" customWidth="1"/>
    <col min="3" max="4" width="7.7109375" style="2" hidden="1" customWidth="1"/>
    <col min="5" max="5" width="14.7109375" style="2" hidden="1" customWidth="1"/>
    <col min="6" max="6" width="0.140625" style="2" customWidth="1"/>
    <col min="7" max="7" width="0.28515625" style="2" customWidth="1"/>
    <col min="8" max="8" width="9.28515625" style="2" hidden="1" customWidth="1"/>
    <col min="9" max="9" width="22" style="3" customWidth="1"/>
    <col min="10" max="10" width="17.42578125" style="3" customWidth="1"/>
    <col min="11" max="11" width="12" style="2" hidden="1" customWidth="1"/>
    <col min="12" max="12" width="15.42578125" style="2" hidden="1" customWidth="1"/>
    <col min="13" max="14" width="15.140625" style="2" hidden="1" customWidth="1"/>
    <col min="15" max="15" width="16.28515625" style="2" hidden="1" customWidth="1" outlineLevel="1"/>
    <col min="16" max="16" width="19.7109375" style="2" hidden="1" customWidth="1" outlineLevel="1"/>
    <col min="17" max="18" width="20.140625" style="2" hidden="1" customWidth="1" outlineLevel="1"/>
    <col min="19" max="19" width="20.85546875" style="2" hidden="1" customWidth="1" outlineLevel="1"/>
    <col min="20" max="20" width="20.42578125" style="2" hidden="1" customWidth="1" outlineLevel="1"/>
    <col min="21" max="21" width="19.42578125" style="2" hidden="1" customWidth="1" outlineLevel="1"/>
    <col min="22" max="22" width="19.28515625" style="2" customWidth="1" collapsed="1"/>
    <col min="23" max="29" width="19.28515625" style="2" customWidth="1"/>
    <col min="30" max="30" width="32" style="2" bestFit="1" customWidth="1"/>
    <col min="31" max="31" width="47.42578125" style="2" bestFit="1" customWidth="1"/>
    <col min="32" max="32" width="8.28515625" style="2" bestFit="1" customWidth="1"/>
    <col min="33" max="33" width="13.5703125" style="2" bestFit="1" customWidth="1"/>
    <col min="34" max="36" width="12.85546875" style="2" bestFit="1" customWidth="1"/>
    <col min="37" max="37" width="0" style="2" hidden="1" customWidth="1"/>
    <col min="38" max="38" width="11.5703125" style="2" bestFit="1" customWidth="1"/>
    <col min="39" max="39" width="16.28515625" style="2" customWidth="1"/>
    <col min="40" max="40" width="14.140625" style="2" customWidth="1"/>
    <col min="41" max="16384" width="8.7109375" style="2"/>
  </cols>
  <sheetData>
    <row r="1" spans="1:31" ht="15.75" hidden="1" customHeight="1" x14ac:dyDescent="0.25">
      <c r="K1" s="160" t="s">
        <v>124</v>
      </c>
    </row>
    <row r="2" spans="1:31" ht="20.25" hidden="1" customHeight="1" x14ac:dyDescent="0.3">
      <c r="B2" s="4" t="s">
        <v>0</v>
      </c>
      <c r="K2" s="160" t="s">
        <v>125</v>
      </c>
      <c r="AE2" s="5" t="s">
        <v>1</v>
      </c>
    </row>
    <row r="3" spans="1:31" ht="20.25" hidden="1" customHeight="1" x14ac:dyDescent="0.3">
      <c r="B3" s="6" t="s">
        <v>2</v>
      </c>
      <c r="K3" s="160" t="s">
        <v>39</v>
      </c>
      <c r="AE3" s="7" t="s">
        <v>3</v>
      </c>
    </row>
    <row r="4" spans="1:31" ht="20.25" hidden="1" customHeight="1" x14ac:dyDescent="0.3">
      <c r="B4" s="6" t="s">
        <v>4</v>
      </c>
      <c r="K4" s="160" t="s">
        <v>54</v>
      </c>
      <c r="AE4" s="7" t="s">
        <v>5</v>
      </c>
    </row>
    <row r="5" spans="1:31" ht="20.25" hidden="1" customHeight="1" x14ac:dyDescent="0.3">
      <c r="B5" s="6" t="s">
        <v>6</v>
      </c>
      <c r="K5" s="160" t="s">
        <v>55</v>
      </c>
      <c r="AE5" s="7" t="s">
        <v>6</v>
      </c>
    </row>
    <row r="6" spans="1:31" ht="20.25" hidden="1" customHeight="1" x14ac:dyDescent="0.3">
      <c r="A6" s="8"/>
      <c r="B6" s="6"/>
      <c r="F6" s="9"/>
    </row>
    <row r="7" spans="1:31" ht="20.25" hidden="1" customHeight="1" x14ac:dyDescent="0.3">
      <c r="A7" s="8"/>
      <c r="B7" s="6" t="s">
        <v>7</v>
      </c>
      <c r="F7" s="9"/>
    </row>
    <row r="8" spans="1:31" ht="20.25" hidden="1" customHeight="1" x14ac:dyDescent="0.3">
      <c r="A8" s="8"/>
      <c r="B8" s="6" t="s">
        <v>8</v>
      </c>
      <c r="F8" s="9"/>
    </row>
    <row r="9" spans="1:31" ht="20.25" hidden="1" customHeight="1" x14ac:dyDescent="0.3">
      <c r="A9" s="8"/>
      <c r="B9" s="6" t="s">
        <v>6</v>
      </c>
      <c r="F9" s="9"/>
    </row>
    <row r="10" spans="1:31" ht="20.25" hidden="1" customHeight="1" x14ac:dyDescent="0.3">
      <c r="A10" s="8"/>
      <c r="B10" s="6"/>
      <c r="F10" s="9"/>
    </row>
    <row r="11" spans="1:31" ht="20.25" hidden="1" customHeight="1" x14ac:dyDescent="0.3">
      <c r="A11" s="8"/>
      <c r="B11" s="6" t="s">
        <v>9</v>
      </c>
      <c r="F11" s="9"/>
    </row>
    <row r="12" spans="1:31" ht="20.25" hidden="1" customHeight="1" x14ac:dyDescent="0.3">
      <c r="A12" s="8"/>
      <c r="B12" s="6" t="s">
        <v>10</v>
      </c>
      <c r="F12" s="9"/>
    </row>
    <row r="13" spans="1:31" ht="20.25" hidden="1" customHeight="1" x14ac:dyDescent="0.3">
      <c r="A13" s="8"/>
      <c r="B13" s="6" t="s">
        <v>6</v>
      </c>
      <c r="F13" s="9"/>
    </row>
    <row r="14" spans="1:31" ht="18.75" hidden="1" customHeight="1" x14ac:dyDescent="0.3">
      <c r="A14" s="8"/>
      <c r="B14" s="10"/>
      <c r="E14" s="11"/>
      <c r="F14" s="9"/>
      <c r="O14" s="11"/>
    </row>
    <row r="15" spans="1:31" ht="25.5" x14ac:dyDescent="0.25">
      <c r="A15" s="540" t="s">
        <v>146</v>
      </c>
      <c r="B15" s="541"/>
      <c r="C15" s="541"/>
      <c r="D15" s="541"/>
      <c r="E15" s="541"/>
      <c r="F15" s="541"/>
      <c r="G15" s="541"/>
      <c r="H15" s="541"/>
      <c r="I15" s="541"/>
      <c r="J15" s="541"/>
      <c r="K15" s="541"/>
      <c r="L15" s="541"/>
      <c r="M15" s="541"/>
      <c r="N15" s="541"/>
      <c r="O15" s="541"/>
      <c r="P15" s="541"/>
      <c r="Q15" s="541"/>
      <c r="R15" s="541"/>
      <c r="S15" s="541"/>
      <c r="T15" s="541"/>
      <c r="U15" s="541"/>
      <c r="V15" s="541"/>
      <c r="W15" s="420"/>
      <c r="X15" s="420"/>
      <c r="Y15" s="420"/>
      <c r="Z15" s="420"/>
      <c r="AA15" s="420"/>
      <c r="AB15" s="420"/>
      <c r="AC15" s="420"/>
      <c r="AD15" s="12"/>
    </row>
    <row r="16" spans="1:31" s="17" customFormat="1" x14ac:dyDescent="0.2">
      <c r="A16" s="13"/>
      <c r="B16" s="14"/>
      <c r="C16" s="15"/>
      <c r="D16" s="15"/>
      <c r="E16" s="15"/>
      <c r="F16" s="15"/>
      <c r="G16" s="15"/>
      <c r="H16" s="15"/>
      <c r="I16" s="16"/>
      <c r="J16" s="16"/>
      <c r="K16" s="15"/>
      <c r="L16" s="15"/>
      <c r="M16" s="15"/>
      <c r="N16" s="15"/>
      <c r="W16" s="257"/>
    </row>
    <row r="17" spans="1:38" s="18" customFormat="1" ht="18.75" customHeight="1" x14ac:dyDescent="0.25">
      <c r="B17" s="19" t="s">
        <v>147</v>
      </c>
      <c r="C17" s="20"/>
      <c r="D17" s="20"/>
      <c r="E17" s="20"/>
      <c r="F17" s="20"/>
      <c r="G17" s="20"/>
      <c r="H17" s="20"/>
      <c r="I17" s="143"/>
      <c r="J17" s="143"/>
      <c r="K17" s="20"/>
      <c r="L17" s="143"/>
      <c r="M17" s="20"/>
      <c r="N17" s="20"/>
      <c r="O17" s="261"/>
      <c r="P17" s="261"/>
      <c r="Q17" s="261"/>
      <c r="R17" s="410"/>
      <c r="S17" s="410"/>
      <c r="T17" s="410"/>
    </row>
    <row r="18" spans="1:38" s="18" customFormat="1" ht="18.75" customHeight="1" x14ac:dyDescent="0.25">
      <c r="B18" s="19" t="s">
        <v>148</v>
      </c>
      <c r="C18" s="20"/>
      <c r="D18" s="20"/>
      <c r="E18" s="20"/>
      <c r="F18" s="20"/>
      <c r="G18" s="20"/>
      <c r="H18" s="20"/>
      <c r="I18" s="176"/>
      <c r="J18" s="20"/>
      <c r="K18" s="20"/>
      <c r="L18" s="20"/>
      <c r="M18" s="20"/>
      <c r="N18" s="20"/>
      <c r="O18" s="20"/>
      <c r="P18" s="20"/>
      <c r="Q18" s="176"/>
      <c r="R18" s="20"/>
      <c r="S18" s="20"/>
      <c r="T18" s="261"/>
      <c r="U18" s="240"/>
      <c r="V18" s="176"/>
      <c r="W18" s="261"/>
      <c r="X18" s="176"/>
      <c r="Y18" s="261"/>
      <c r="Z18" s="261"/>
      <c r="AA18" s="20"/>
      <c r="AB18" s="20"/>
      <c r="AC18" s="20"/>
    </row>
    <row r="19" spans="1:38" x14ac:dyDescent="0.25">
      <c r="I19" s="176"/>
      <c r="S19" s="21"/>
      <c r="U19" s="353"/>
      <c r="V19" s="176"/>
      <c r="W19" s="360"/>
      <c r="X19" s="360"/>
      <c r="Y19" s="360"/>
      <c r="Z19" s="360"/>
      <c r="AA19" s="360"/>
      <c r="AB19" s="361"/>
      <c r="AC19" s="361"/>
    </row>
    <row r="20" spans="1:38" ht="33.75" customHeight="1" x14ac:dyDescent="0.25">
      <c r="A20" s="23" t="s">
        <v>11</v>
      </c>
      <c r="B20" s="23" t="s">
        <v>12</v>
      </c>
      <c r="F20" s="24" t="s">
        <v>13</v>
      </c>
      <c r="G20" s="25"/>
      <c r="H20" s="26" t="s">
        <v>14</v>
      </c>
      <c r="I20" s="542" t="s">
        <v>15</v>
      </c>
      <c r="J20" s="543"/>
      <c r="K20" s="543"/>
      <c r="L20" s="543"/>
      <c r="M20" s="543"/>
      <c r="N20" s="543"/>
      <c r="O20" s="543"/>
      <c r="P20" s="543"/>
      <c r="Q20" s="543"/>
      <c r="R20" s="543"/>
      <c r="S20" s="543"/>
      <c r="T20" s="543"/>
      <c r="U20" s="543"/>
      <c r="V20" s="544"/>
      <c r="W20" s="362"/>
      <c r="X20" s="362"/>
      <c r="Y20" s="417"/>
      <c r="Z20" s="417"/>
      <c r="AA20" s="417"/>
      <c r="AB20" s="417"/>
      <c r="AC20" s="417"/>
      <c r="AD20" s="27" t="s">
        <v>16</v>
      </c>
      <c r="AE20" s="548"/>
      <c r="AF20" s="548" t="s">
        <v>17</v>
      </c>
      <c r="AI20" s="21"/>
    </row>
    <row r="21" spans="1:38" ht="49.5" customHeight="1" x14ac:dyDescent="0.25">
      <c r="A21" s="28"/>
      <c r="B21" s="263"/>
      <c r="F21" s="29"/>
      <c r="G21" s="30"/>
      <c r="H21" s="31"/>
      <c r="I21" s="545"/>
      <c r="J21" s="546"/>
      <c r="K21" s="546"/>
      <c r="L21" s="546"/>
      <c r="M21" s="546"/>
      <c r="N21" s="546"/>
      <c r="O21" s="546"/>
      <c r="P21" s="546"/>
      <c r="Q21" s="546"/>
      <c r="R21" s="546"/>
      <c r="S21" s="546"/>
      <c r="T21" s="546"/>
      <c r="U21" s="546"/>
      <c r="V21" s="547"/>
      <c r="W21" s="418"/>
      <c r="X21" s="418"/>
      <c r="Y21" s="418"/>
      <c r="Z21" s="418"/>
      <c r="AA21" s="418"/>
      <c r="AB21" s="418"/>
      <c r="AC21" s="418"/>
      <c r="AD21" s="32"/>
      <c r="AE21" s="549"/>
      <c r="AF21" s="549"/>
      <c r="AI21" s="21"/>
    </row>
    <row r="22" spans="1:38" ht="15.75" customHeight="1" x14ac:dyDescent="0.25">
      <c r="A22" s="28"/>
      <c r="B22" s="28"/>
      <c r="C22" s="33" t="s">
        <v>18</v>
      </c>
      <c r="D22" s="25" t="s">
        <v>19</v>
      </c>
      <c r="E22" s="34" t="s">
        <v>20</v>
      </c>
      <c r="F22" s="35" t="s">
        <v>21</v>
      </c>
      <c r="G22" s="36" t="s">
        <v>22</v>
      </c>
      <c r="H22" s="31"/>
      <c r="I22" s="37" t="s">
        <v>23</v>
      </c>
      <c r="J22" s="37"/>
      <c r="K22" s="38">
        <v>2020</v>
      </c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234"/>
      <c r="X22" s="234"/>
      <c r="Y22" s="234"/>
      <c r="Z22" s="234"/>
      <c r="AA22" s="234"/>
      <c r="AB22" s="234"/>
      <c r="AC22" s="234"/>
      <c r="AD22" s="39"/>
      <c r="AF22" s="40"/>
      <c r="AI22" s="21"/>
    </row>
    <row r="23" spans="1:38" x14ac:dyDescent="0.25">
      <c r="A23" s="41"/>
      <c r="B23" s="183" t="s">
        <v>133</v>
      </c>
      <c r="C23" s="184"/>
      <c r="D23" s="185"/>
      <c r="E23" s="186"/>
      <c r="F23" s="187"/>
      <c r="G23" s="188"/>
      <c r="H23" s="189"/>
      <c r="I23" s="190">
        <f>1.05*1.051*0.94*1.3073819554469</f>
        <v>1.3561956755174207</v>
      </c>
      <c r="J23" s="156"/>
      <c r="K23" s="45" t="s">
        <v>24</v>
      </c>
      <c r="L23" s="46" t="s">
        <v>25</v>
      </c>
      <c r="M23" s="45" t="s">
        <v>26</v>
      </c>
      <c r="N23" s="45" t="s">
        <v>27</v>
      </c>
      <c r="O23" s="45" t="s">
        <v>28</v>
      </c>
      <c r="P23" s="45" t="s">
        <v>29</v>
      </c>
      <c r="Q23" s="45" t="s">
        <v>30</v>
      </c>
      <c r="R23" s="45" t="s">
        <v>31</v>
      </c>
      <c r="S23" s="45" t="s">
        <v>32</v>
      </c>
      <c r="T23" s="45" t="s">
        <v>33</v>
      </c>
      <c r="U23" s="45" t="s">
        <v>34</v>
      </c>
      <c r="V23" s="45" t="s">
        <v>35</v>
      </c>
      <c r="W23" s="45" t="s">
        <v>24</v>
      </c>
      <c r="X23" s="45" t="s">
        <v>25</v>
      </c>
      <c r="Y23" s="45" t="s">
        <v>26</v>
      </c>
      <c r="Z23" s="45" t="s">
        <v>27</v>
      </c>
      <c r="AA23" s="45" t="s">
        <v>28</v>
      </c>
      <c r="AB23" s="45" t="s">
        <v>29</v>
      </c>
      <c r="AC23" s="45" t="s">
        <v>30</v>
      </c>
      <c r="AD23" s="47" t="s">
        <v>139</v>
      </c>
      <c r="AF23" s="40"/>
      <c r="AI23" s="21"/>
    </row>
    <row r="24" spans="1:38" x14ac:dyDescent="0.25">
      <c r="A24" s="28"/>
      <c r="B24" s="230"/>
      <c r="C24" s="184"/>
      <c r="D24" s="185"/>
      <c r="E24" s="186"/>
      <c r="F24" s="231"/>
      <c r="G24" s="232"/>
      <c r="H24" s="189"/>
      <c r="I24" s="233"/>
      <c r="J24" s="156"/>
      <c r="K24" s="45"/>
      <c r="L24" s="46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7"/>
      <c r="AF24" s="40"/>
      <c r="AI24" s="21"/>
    </row>
    <row r="25" spans="1:38" ht="15.75" customHeight="1" x14ac:dyDescent="0.25">
      <c r="A25" s="54">
        <v>1</v>
      </c>
      <c r="B25" s="419" t="s">
        <v>66</v>
      </c>
      <c r="C25" s="49"/>
      <c r="D25" s="30"/>
      <c r="E25" s="42" t="e">
        <f t="shared" ref="E25" si="0">DATEDIF(F25,G25,"d")</f>
        <v>#NUM!</v>
      </c>
      <c r="F25" s="55">
        <v>44058</v>
      </c>
      <c r="G25" s="55"/>
      <c r="H25" s="56" t="s">
        <v>37</v>
      </c>
      <c r="I25" s="264">
        <f>SUM(K25:AD25)</f>
        <v>-35.528230000000001</v>
      </c>
      <c r="J25" s="264">
        <f>SUM(K25:AB25)</f>
        <v>0</v>
      </c>
      <c r="K25" s="50"/>
      <c r="L25" s="50"/>
      <c r="M25" s="50"/>
      <c r="N25" s="50"/>
      <c r="O25" s="265">
        <v>0</v>
      </c>
      <c r="P25" s="265">
        <f>60%*0</f>
        <v>0</v>
      </c>
      <c r="Q25" s="265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0</v>
      </c>
      <c r="W25" s="266">
        <v>0</v>
      </c>
      <c r="X25" s="266"/>
      <c r="Y25" s="267"/>
      <c r="Z25" s="267"/>
      <c r="AA25" s="267"/>
      <c r="AB25" s="267"/>
      <c r="AC25" s="267"/>
      <c r="AD25" s="53">
        <f>J26-I26</f>
        <v>-35.528230000000001</v>
      </c>
      <c r="AF25" s="40"/>
      <c r="AI25" s="21"/>
    </row>
    <row r="26" spans="1:38" ht="15.75" customHeight="1" x14ac:dyDescent="0.25">
      <c r="A26" s="60"/>
      <c r="B26" s="61"/>
      <c r="C26" s="49"/>
      <c r="D26" s="30"/>
      <c r="E26" s="42"/>
      <c r="F26" s="62"/>
      <c r="G26" s="62"/>
      <c r="H26" s="56" t="s">
        <v>36</v>
      </c>
      <c r="I26" s="268">
        <f>35528.23/1000</f>
        <v>35.528230000000001</v>
      </c>
      <c r="J26" s="153">
        <f t="shared" ref="J26:J72" si="1">SUM(K26:AB26)</f>
        <v>0</v>
      </c>
      <c r="K26" s="147"/>
      <c r="L26" s="147"/>
      <c r="M26" s="147"/>
      <c r="N26" s="147"/>
      <c r="O26" s="147">
        <f>I26*O25</f>
        <v>0</v>
      </c>
      <c r="P26" s="147">
        <f>I26*P25</f>
        <v>0</v>
      </c>
      <c r="Q26" s="147">
        <f>I26*Q25</f>
        <v>0</v>
      </c>
      <c r="R26" s="147">
        <f>$I26*R25</f>
        <v>0</v>
      </c>
      <c r="S26" s="219">
        <f t="shared" ref="S26:X26" si="2">$I26*S25</f>
        <v>0</v>
      </c>
      <c r="T26" s="219">
        <f t="shared" si="2"/>
        <v>0</v>
      </c>
      <c r="U26" s="219">
        <f t="shared" si="2"/>
        <v>0</v>
      </c>
      <c r="V26" s="219">
        <f t="shared" si="2"/>
        <v>0</v>
      </c>
      <c r="W26" s="219">
        <f t="shared" si="2"/>
        <v>0</v>
      </c>
      <c r="X26" s="147">
        <f t="shared" si="2"/>
        <v>0</v>
      </c>
      <c r="Y26" s="148"/>
      <c r="Z26" s="148"/>
      <c r="AA26" s="148"/>
      <c r="AB26" s="148"/>
      <c r="AC26" s="148"/>
      <c r="AD26" s="53"/>
      <c r="AF26" s="64">
        <v>109.95413999999982</v>
      </c>
      <c r="AG26" s="21" t="e">
        <f>#REF!+#REF!+#REF!</f>
        <v>#REF!</v>
      </c>
      <c r="AI26" s="21">
        <v>6899.9044400000002</v>
      </c>
      <c r="AJ26" s="21">
        <f>I26</f>
        <v>35.528230000000001</v>
      </c>
    </row>
    <row r="27" spans="1:38" ht="15.75" customHeight="1" x14ac:dyDescent="0.25">
      <c r="A27" s="54">
        <v>2</v>
      </c>
      <c r="B27" s="419" t="s">
        <v>67</v>
      </c>
      <c r="C27" s="49"/>
      <c r="D27" s="30"/>
      <c r="E27" s="56">
        <f t="shared" ref="E27:E59" si="3">DATEDIF(F27,G27,"d")</f>
        <v>964</v>
      </c>
      <c r="F27" s="55">
        <v>43160</v>
      </c>
      <c r="G27" s="55">
        <v>44124</v>
      </c>
      <c r="H27" s="56" t="s">
        <v>37</v>
      </c>
      <c r="I27" s="264">
        <f>SUM(K27:AD27)</f>
        <v>0</v>
      </c>
      <c r="J27" s="264">
        <f t="shared" si="1"/>
        <v>0</v>
      </c>
      <c r="K27" s="50"/>
      <c r="L27" s="50"/>
      <c r="M27" s="50"/>
      <c r="N27" s="50"/>
      <c r="O27" s="269"/>
      <c r="P27" s="269"/>
      <c r="Q27" s="269"/>
      <c r="R27" s="269"/>
      <c r="S27" s="270">
        <v>0</v>
      </c>
      <c r="T27" s="270">
        <v>0</v>
      </c>
      <c r="U27" s="270">
        <v>0</v>
      </c>
      <c r="V27" s="270">
        <v>0</v>
      </c>
      <c r="W27" s="270"/>
      <c r="X27" s="51"/>
      <c r="Y27" s="51"/>
      <c r="Z27" s="51"/>
      <c r="AA27" s="270"/>
      <c r="AB27" s="270"/>
      <c r="AC27" s="270"/>
      <c r="AD27" s="53"/>
      <c r="AE27" s="273"/>
      <c r="AF27" s="64"/>
      <c r="AI27" s="21"/>
      <c r="AJ27" s="21"/>
    </row>
    <row r="28" spans="1:38" ht="15.75" customHeight="1" x14ac:dyDescent="0.25">
      <c r="A28" s="60"/>
      <c r="B28" s="83"/>
      <c r="C28" s="49"/>
      <c r="D28" s="30"/>
      <c r="E28" s="42"/>
      <c r="F28" s="62"/>
      <c r="G28" s="62"/>
      <c r="H28" s="56" t="s">
        <v>36</v>
      </c>
      <c r="I28" s="268">
        <f>5825888.42/1000</f>
        <v>5825.8884200000002</v>
      </c>
      <c r="J28" s="153">
        <f t="shared" si="1"/>
        <v>0</v>
      </c>
      <c r="K28" s="147"/>
      <c r="L28" s="147"/>
      <c r="M28" s="147"/>
      <c r="N28" s="147"/>
      <c r="O28" s="147"/>
      <c r="P28" s="147"/>
      <c r="Q28" s="147"/>
      <c r="R28" s="147"/>
      <c r="S28" s="148">
        <f>I28*S27</f>
        <v>0</v>
      </c>
      <c r="T28" s="148">
        <f>I28*T27</f>
        <v>0</v>
      </c>
      <c r="U28" s="148">
        <f>I28*U27</f>
        <v>0</v>
      </c>
      <c r="V28" s="148">
        <f>I28*V27</f>
        <v>0</v>
      </c>
      <c r="W28" s="148">
        <f>I28*W27</f>
        <v>0</v>
      </c>
      <c r="X28" s="148"/>
      <c r="Y28" s="148"/>
      <c r="Z28" s="148"/>
      <c r="AA28" s="147">
        <f t="shared" ref="AA28:AB30" si="4">$I28*AA27</f>
        <v>0</v>
      </c>
      <c r="AB28" s="147">
        <f t="shared" si="4"/>
        <v>0</v>
      </c>
      <c r="AC28" s="147"/>
      <c r="AD28" s="53"/>
      <c r="AF28" s="64">
        <v>0.23423000000002503</v>
      </c>
      <c r="AI28" s="21">
        <v>7126.4367700000003</v>
      </c>
      <c r="AJ28" s="21">
        <f>I28</f>
        <v>5825.8884200000002</v>
      </c>
    </row>
    <row r="29" spans="1:38" s="18" customFormat="1" ht="15.75" customHeight="1" x14ac:dyDescent="0.25">
      <c r="A29" s="65">
        <v>3</v>
      </c>
      <c r="B29" s="271" t="s">
        <v>84</v>
      </c>
      <c r="C29" s="42"/>
      <c r="D29" s="67"/>
      <c r="E29" s="42">
        <f t="shared" si="3"/>
        <v>76</v>
      </c>
      <c r="F29" s="55">
        <v>43905</v>
      </c>
      <c r="G29" s="68">
        <v>43981</v>
      </c>
      <c r="H29" s="56" t="s">
        <v>37</v>
      </c>
      <c r="I29" s="264">
        <f>SUM(K29:AD29)</f>
        <v>0.51981277195738163</v>
      </c>
      <c r="J29" s="264">
        <f t="shared" si="1"/>
        <v>0.51981277195738163</v>
      </c>
      <c r="K29" s="50"/>
      <c r="L29" s="50"/>
      <c r="M29" s="269"/>
      <c r="N29" s="269"/>
      <c r="O29" s="272">
        <v>0</v>
      </c>
      <c r="P29" s="272">
        <f>35%*0</f>
        <v>0</v>
      </c>
      <c r="Q29" s="266">
        <f>Q30/I30</f>
        <v>0.25893774008864501</v>
      </c>
      <c r="R29" s="266">
        <v>0</v>
      </c>
      <c r="S29" s="266">
        <v>0</v>
      </c>
      <c r="T29" s="266">
        <f>T30/I30</f>
        <v>0.24949960411041638</v>
      </c>
      <c r="U29" s="266">
        <f>U30/I30</f>
        <v>1.137542775832028E-2</v>
      </c>
      <c r="V29" s="359">
        <v>0</v>
      </c>
      <c r="W29" s="51"/>
      <c r="X29" s="51"/>
      <c r="Y29" s="51"/>
      <c r="Z29" s="51"/>
      <c r="AA29" s="359"/>
      <c r="AB29" s="359"/>
      <c r="AC29" s="359"/>
      <c r="AD29" s="69"/>
      <c r="AF29" s="64"/>
      <c r="AI29" s="21"/>
      <c r="AJ29" s="21"/>
    </row>
    <row r="30" spans="1:38" ht="15.75" customHeight="1" x14ac:dyDescent="0.25">
      <c r="A30" s="70"/>
      <c r="B30" s="71"/>
      <c r="C30" s="42"/>
      <c r="D30" s="67"/>
      <c r="E30" s="42"/>
      <c r="F30" s="72"/>
      <c r="G30" s="73"/>
      <c r="H30" s="56" t="s">
        <v>36</v>
      </c>
      <c r="I30" s="268">
        <f>10531206.61/1000</f>
        <v>10531.206609999999</v>
      </c>
      <c r="J30" s="153">
        <f t="shared" si="1"/>
        <v>5474.2557000000006</v>
      </c>
      <c r="K30" s="149"/>
      <c r="L30" s="149"/>
      <c r="M30" s="147"/>
      <c r="N30" s="147"/>
      <c r="O30" s="147">
        <f>I30*O29</f>
        <v>0</v>
      </c>
      <c r="P30" s="147">
        <f>I30*P29</f>
        <v>0</v>
      </c>
      <c r="Q30" s="219">
        <v>2726.9268400000001</v>
      </c>
      <c r="R30" s="219">
        <f>I30*R29</f>
        <v>0</v>
      </c>
      <c r="S30" s="239">
        <f>I30*S29</f>
        <v>0</v>
      </c>
      <c r="T30" s="239">
        <f>2526.06576+101.46612</f>
        <v>2627.53188</v>
      </c>
      <c r="U30" s="237">
        <v>119.79698</v>
      </c>
      <c r="V30" s="237">
        <f>I30*V29</f>
        <v>0</v>
      </c>
      <c r="W30" s="148">
        <f>I30*W29</f>
        <v>0</v>
      </c>
      <c r="X30" s="148"/>
      <c r="Y30" s="148"/>
      <c r="Z30" s="148"/>
      <c r="AA30" s="147">
        <f t="shared" si="4"/>
        <v>0</v>
      </c>
      <c r="AB30" s="147">
        <f t="shared" si="4"/>
        <v>0</v>
      </c>
      <c r="AC30" s="147"/>
      <c r="AD30" s="53"/>
      <c r="AF30" s="75">
        <v>-8297.56675</v>
      </c>
      <c r="AG30" s="76" t="s">
        <v>38</v>
      </c>
      <c r="AI30" s="21">
        <v>13473.14</v>
      </c>
      <c r="AJ30" s="21">
        <f>I30</f>
        <v>10531.206609999999</v>
      </c>
      <c r="AK30" s="21"/>
      <c r="AL30" s="273">
        <f>R35/I35</f>
        <v>0.11403209843039541</v>
      </c>
    </row>
    <row r="31" spans="1:38" ht="15.75" customHeight="1" x14ac:dyDescent="0.25">
      <c r="A31" s="138"/>
      <c r="B31" s="274" t="s">
        <v>68</v>
      </c>
      <c r="C31" s="42"/>
      <c r="D31" s="139"/>
      <c r="E31" s="42"/>
      <c r="F31" s="140"/>
      <c r="G31" s="141"/>
      <c r="H31" s="56"/>
      <c r="I31" s="63"/>
      <c r="J31" s="63">
        <f t="shared" si="1"/>
        <v>0</v>
      </c>
      <c r="K31" s="74"/>
      <c r="L31" s="74"/>
      <c r="M31" s="50"/>
      <c r="N31" s="50"/>
      <c r="O31" s="50"/>
      <c r="P31" s="50"/>
      <c r="Q31" s="50"/>
      <c r="R31" s="50"/>
      <c r="S31" s="136"/>
      <c r="T31" s="136"/>
      <c r="U31" s="51"/>
      <c r="V31" s="51"/>
      <c r="W31" s="51"/>
      <c r="X31" s="51"/>
      <c r="Y31" s="51"/>
      <c r="Z31" s="51"/>
      <c r="AA31" s="51"/>
      <c r="AB31" s="51"/>
      <c r="AC31" s="51"/>
      <c r="AD31" s="53"/>
      <c r="AF31" s="75"/>
      <c r="AG31" s="76"/>
      <c r="AI31" s="21"/>
      <c r="AJ31" s="21"/>
      <c r="AK31" s="21"/>
    </row>
    <row r="32" spans="1:38" ht="15.75" customHeight="1" outlineLevel="1" x14ac:dyDescent="0.25">
      <c r="A32" s="79" t="s">
        <v>89</v>
      </c>
      <c r="B32" s="534" t="s">
        <v>86</v>
      </c>
      <c r="C32" s="49"/>
      <c r="D32" s="30"/>
      <c r="E32" s="42">
        <f t="shared" si="3"/>
        <v>178</v>
      </c>
      <c r="F32" s="55">
        <v>43936</v>
      </c>
      <c r="G32" s="55">
        <v>44114</v>
      </c>
      <c r="H32" s="56" t="s">
        <v>37</v>
      </c>
      <c r="I32" s="264">
        <f>SUM(K32:AD32)</f>
        <v>0.1429191405165616</v>
      </c>
      <c r="J32" s="264">
        <f t="shared" si="1"/>
        <v>0.1429191405165616</v>
      </c>
      <c r="K32" s="50"/>
      <c r="L32" s="50"/>
      <c r="M32" s="50"/>
      <c r="N32" s="50"/>
      <c r="O32" s="272">
        <v>0</v>
      </c>
      <c r="P32" s="272">
        <f>14%*0</f>
        <v>0</v>
      </c>
      <c r="Q32" s="272">
        <v>0</v>
      </c>
      <c r="R32" s="266">
        <f>R33/I33</f>
        <v>3.0594484181836835E-2</v>
      </c>
      <c r="S32" s="270">
        <v>0</v>
      </c>
      <c r="T32" s="270">
        <f>T33/I33</f>
        <v>3.1641448728271369E-2</v>
      </c>
      <c r="U32" s="270">
        <f>U33/I33</f>
        <v>3.2380086415472839E-2</v>
      </c>
      <c r="V32" s="270">
        <f>V33/I33</f>
        <v>1.7595335185464519E-2</v>
      </c>
      <c r="W32" s="270">
        <f>W33/I33</f>
        <v>3.0707786005516043E-2</v>
      </c>
      <c r="X32" s="270"/>
      <c r="Y32" s="270"/>
      <c r="Z32" s="270"/>
      <c r="AA32" s="270"/>
      <c r="AB32" s="270"/>
      <c r="AC32" s="270"/>
      <c r="AD32" s="53"/>
      <c r="AF32" s="40"/>
      <c r="AI32" s="21"/>
    </row>
    <row r="33" spans="1:38" ht="15.75" customHeight="1" outlineLevel="1" x14ac:dyDescent="0.25">
      <c r="A33" s="60"/>
      <c r="B33" s="535"/>
      <c r="C33" s="49"/>
      <c r="D33" s="30"/>
      <c r="E33" s="42"/>
      <c r="F33" s="62"/>
      <c r="G33" s="62"/>
      <c r="H33" s="56" t="s">
        <v>36</v>
      </c>
      <c r="I33" s="268">
        <f>57094202.37/1000+9712448.22/1000+114591.75/1000</f>
        <v>66921.242340000012</v>
      </c>
      <c r="J33" s="153">
        <f t="shared" si="1"/>
        <v>9564.3264375333347</v>
      </c>
      <c r="K33" s="147"/>
      <c r="L33" s="147"/>
      <c r="M33" s="147"/>
      <c r="N33" s="147"/>
      <c r="O33" s="147">
        <f>I33*O32</f>
        <v>0</v>
      </c>
      <c r="P33" s="147">
        <f>I33*P32</f>
        <v>0</v>
      </c>
      <c r="Q33" s="147">
        <f>I33*Q32</f>
        <v>0</v>
      </c>
      <c r="R33" s="219">
        <v>2047.4208901999998</v>
      </c>
      <c r="S33" s="219">
        <v>0</v>
      </c>
      <c r="T33" s="219">
        <f>2540.98207/1.2</f>
        <v>2117.4850583333337</v>
      </c>
      <c r="U33" s="356">
        <f>2166.91561</f>
        <v>2166.91561</v>
      </c>
      <c r="V33" s="219">
        <v>1177.5016900000001</v>
      </c>
      <c r="W33" s="219">
        <v>2055.003189</v>
      </c>
      <c r="X33" s="245"/>
      <c r="Y33" s="245">
        <f t="shared" ref="Y33:AA33" si="5">$I33*Y32</f>
        <v>0</v>
      </c>
      <c r="Z33" s="245">
        <f t="shared" si="5"/>
        <v>0</v>
      </c>
      <c r="AA33" s="245">
        <f t="shared" si="5"/>
        <v>0</v>
      </c>
      <c r="AB33" s="245"/>
      <c r="AC33" s="245"/>
      <c r="AD33" s="53"/>
      <c r="AE33" s="273"/>
      <c r="AF33" s="64">
        <v>109.95413999999982</v>
      </c>
      <c r="AG33" s="21" t="e">
        <f>#REF!+#REF!+#REF!</f>
        <v>#REF!</v>
      </c>
      <c r="AI33" s="21">
        <v>6899.9044400000002</v>
      </c>
      <c r="AJ33" s="21">
        <f>I33</f>
        <v>66921.242340000012</v>
      </c>
      <c r="AL33" s="200"/>
    </row>
    <row r="34" spans="1:38" ht="15.75" customHeight="1" outlineLevel="1" x14ac:dyDescent="0.25">
      <c r="A34" s="79" t="s">
        <v>91</v>
      </c>
      <c r="B34" s="534" t="s">
        <v>88</v>
      </c>
      <c r="C34" s="49"/>
      <c r="D34" s="30"/>
      <c r="E34" s="42">
        <f t="shared" ref="E34" si="6">DATEDIF(F34,G34,"d")</f>
        <v>178</v>
      </c>
      <c r="F34" s="55">
        <v>43936</v>
      </c>
      <c r="G34" s="55">
        <v>44114</v>
      </c>
      <c r="H34" s="56" t="s">
        <v>37</v>
      </c>
      <c r="I34" s="264">
        <f>SUM(K34:AD34)</f>
        <v>0.44607653288294907</v>
      </c>
      <c r="J34" s="264">
        <f t="shared" si="1"/>
        <v>0.44607653288294907</v>
      </c>
      <c r="K34" s="50"/>
      <c r="L34" s="50"/>
      <c r="M34" s="50"/>
      <c r="N34" s="50"/>
      <c r="O34" s="275">
        <v>0</v>
      </c>
      <c r="P34" s="275">
        <f>6.4%*0</f>
        <v>0</v>
      </c>
      <c r="Q34" s="275">
        <v>0</v>
      </c>
      <c r="R34" s="266">
        <v>0.11403209843039541</v>
      </c>
      <c r="S34" s="270">
        <v>0</v>
      </c>
      <c r="T34" s="270">
        <f>T35/I35</f>
        <v>7.4184126889825938E-2</v>
      </c>
      <c r="U34" s="270">
        <f>U35/I35</f>
        <v>6.7133297757594204E-2</v>
      </c>
      <c r="V34" s="270">
        <f>V35/I35</f>
        <v>4.9346991478332616E-2</v>
      </c>
      <c r="W34" s="270">
        <f>W35/I35</f>
        <v>7.7604765175169885E-2</v>
      </c>
      <c r="X34" s="270">
        <f>X35/I35</f>
        <v>6.3775253151631003E-2</v>
      </c>
      <c r="Y34" s="270"/>
      <c r="Z34" s="270"/>
      <c r="AA34" s="270"/>
      <c r="AB34" s="270"/>
      <c r="AC34" s="270"/>
      <c r="AD34" s="53"/>
      <c r="AF34" s="40"/>
      <c r="AI34" s="21"/>
      <c r="AL34" s="200"/>
    </row>
    <row r="35" spans="1:38" ht="15.75" customHeight="1" outlineLevel="1" x14ac:dyDescent="0.25">
      <c r="A35" s="60"/>
      <c r="B35" s="535"/>
      <c r="C35" s="49"/>
      <c r="D35" s="30"/>
      <c r="E35" s="42"/>
      <c r="F35" s="62"/>
      <c r="G35" s="62"/>
      <c r="H35" s="56" t="s">
        <v>36</v>
      </c>
      <c r="I35" s="276">
        <f>11617128.76/1000+1639663.63/1000+389473.63/1000</f>
        <v>13646.266019999999</v>
      </c>
      <c r="J35" s="153">
        <f t="shared" si="1"/>
        <v>6087.2790329999998</v>
      </c>
      <c r="K35" s="147"/>
      <c r="L35" s="147"/>
      <c r="M35" s="147"/>
      <c r="N35" s="147"/>
      <c r="O35" s="147">
        <f>I35*O34</f>
        <v>0</v>
      </c>
      <c r="P35" s="147">
        <f>I35*P34</f>
        <v>0</v>
      </c>
      <c r="Q35" s="147">
        <f>I35*Q34</f>
        <v>0</v>
      </c>
      <c r="R35" s="219">
        <f>$I35*R34</f>
        <v>1556.1123500000001</v>
      </c>
      <c r="S35" s="219">
        <v>0</v>
      </c>
      <c r="T35" s="238">
        <f>1214.803596/1.2</f>
        <v>1012.33633</v>
      </c>
      <c r="U35" s="358">
        <v>916.11883999999998</v>
      </c>
      <c r="V35" s="238">
        <f>673.402173</f>
        <v>673.40217299999995</v>
      </c>
      <c r="W35" s="238">
        <v>1059.0152700000001</v>
      </c>
      <c r="X35" s="277">
        <v>870.29407000000003</v>
      </c>
      <c r="Y35" s="277">
        <f t="shared" ref="Y35:AA35" si="7">$I35*Y34</f>
        <v>0</v>
      </c>
      <c r="Z35" s="277">
        <f t="shared" si="7"/>
        <v>0</v>
      </c>
      <c r="AA35" s="277">
        <f t="shared" si="7"/>
        <v>0</v>
      </c>
      <c r="AB35" s="148"/>
      <c r="AC35" s="148"/>
      <c r="AD35" s="53"/>
      <c r="AE35" s="273"/>
      <c r="AF35" s="64">
        <v>109.95413999999982</v>
      </c>
      <c r="AG35" s="21" t="e">
        <f>#REF!+#REF!+#REF!</f>
        <v>#REF!</v>
      </c>
      <c r="AI35" s="21">
        <v>6899.9044400000002</v>
      </c>
      <c r="AJ35" s="21">
        <f>I35</f>
        <v>13646.266019999999</v>
      </c>
      <c r="AL35" s="200">
        <f>I35-R35-T35-U35-V35-W35-X35-Y35-Z35</f>
        <v>7558.9869870000002</v>
      </c>
    </row>
    <row r="36" spans="1:38" s="18" customFormat="1" ht="15.75" customHeight="1" outlineLevel="1" x14ac:dyDescent="0.25">
      <c r="A36" s="65">
        <v>5</v>
      </c>
      <c r="B36" s="271" t="s">
        <v>85</v>
      </c>
      <c r="C36" s="35"/>
      <c r="D36" s="246"/>
      <c r="E36" s="42">
        <f t="shared" si="3"/>
        <v>90</v>
      </c>
      <c r="F36" s="55">
        <v>43952</v>
      </c>
      <c r="G36" s="55">
        <v>44042</v>
      </c>
      <c r="H36" s="56" t="s">
        <v>37</v>
      </c>
      <c r="I36" s="278">
        <f>SUM(K36:AD36)</f>
        <v>0</v>
      </c>
      <c r="J36" s="278">
        <f t="shared" si="1"/>
        <v>0</v>
      </c>
      <c r="K36" s="50"/>
      <c r="L36" s="50"/>
      <c r="M36" s="50"/>
      <c r="N36" s="50"/>
      <c r="O36" s="269"/>
      <c r="P36" s="269">
        <f>20%*0</f>
        <v>0</v>
      </c>
      <c r="Q36" s="269">
        <v>0</v>
      </c>
      <c r="R36" s="363">
        <v>0</v>
      </c>
      <c r="S36" s="363">
        <v>0</v>
      </c>
      <c r="T36" s="364">
        <v>0</v>
      </c>
      <c r="U36" s="364">
        <v>0</v>
      </c>
      <c r="V36" s="364">
        <v>0</v>
      </c>
      <c r="W36" s="415"/>
      <c r="X36" s="270"/>
      <c r="Y36" s="270"/>
      <c r="Z36" s="270"/>
      <c r="AA36" s="270"/>
      <c r="AB36" s="269"/>
      <c r="AC36" s="269"/>
      <c r="AD36" s="69"/>
      <c r="AF36" s="109"/>
      <c r="AI36" s="97"/>
      <c r="AJ36" s="97"/>
    </row>
    <row r="37" spans="1:38" s="18" customFormat="1" ht="15.75" customHeight="1" outlineLevel="1" x14ac:dyDescent="0.25">
      <c r="A37" s="70"/>
      <c r="B37" s="247"/>
      <c r="C37" s="35"/>
      <c r="D37" s="246"/>
      <c r="E37" s="42"/>
      <c r="F37" s="248"/>
      <c r="G37" s="248"/>
      <c r="H37" s="56" t="s">
        <v>36</v>
      </c>
      <c r="I37" s="280">
        <f>976997.94/1000+1467921.79/1000</f>
        <v>2444.9197300000001</v>
      </c>
      <c r="J37" s="249">
        <f t="shared" si="1"/>
        <v>0</v>
      </c>
      <c r="K37" s="147"/>
      <c r="L37" s="147"/>
      <c r="M37" s="147"/>
      <c r="N37" s="147"/>
      <c r="O37" s="147"/>
      <c r="P37" s="147">
        <f>I37*P36</f>
        <v>0</v>
      </c>
      <c r="Q37" s="147">
        <f>I37*Q36</f>
        <v>0</v>
      </c>
      <c r="R37" s="147">
        <f>I37*R36</f>
        <v>0</v>
      </c>
      <c r="S37" s="148">
        <f>$I37*S36</f>
        <v>0</v>
      </c>
      <c r="T37" s="281">
        <f>$I37*T36</f>
        <v>0</v>
      </c>
      <c r="U37" s="281">
        <f t="shared" ref="U37:AA37" si="8">$I37*U36</f>
        <v>0</v>
      </c>
      <c r="V37" s="281">
        <f t="shared" si="8"/>
        <v>0</v>
      </c>
      <c r="W37" s="281">
        <f t="shared" si="8"/>
        <v>0</v>
      </c>
      <c r="X37" s="281">
        <f t="shared" si="8"/>
        <v>0</v>
      </c>
      <c r="Y37" s="281">
        <f t="shared" si="8"/>
        <v>0</v>
      </c>
      <c r="Z37" s="281">
        <f t="shared" si="8"/>
        <v>0</v>
      </c>
      <c r="AA37" s="281">
        <f t="shared" si="8"/>
        <v>0</v>
      </c>
      <c r="AB37" s="148"/>
      <c r="AC37" s="148"/>
      <c r="AD37" s="69"/>
      <c r="AE37" s="235"/>
      <c r="AF37" s="109">
        <v>0.23423000000002503</v>
      </c>
      <c r="AI37" s="97">
        <v>7126.4367700000003</v>
      </c>
      <c r="AJ37" s="97">
        <f>I37</f>
        <v>2444.9197300000001</v>
      </c>
      <c r="AL37" s="235">
        <f>T35+AL35</f>
        <v>8571.3233170000003</v>
      </c>
    </row>
    <row r="38" spans="1:38" s="18" customFormat="1" ht="15.75" customHeight="1" outlineLevel="1" x14ac:dyDescent="0.25">
      <c r="A38" s="65">
        <v>6</v>
      </c>
      <c r="B38" s="419" t="s">
        <v>70</v>
      </c>
      <c r="C38" s="42"/>
      <c r="D38" s="67"/>
      <c r="E38" s="42">
        <f t="shared" ref="E38" si="9">DATEDIF(F38,G38,"d")</f>
        <v>59</v>
      </c>
      <c r="F38" s="55">
        <v>43983</v>
      </c>
      <c r="G38" s="68">
        <v>44042</v>
      </c>
      <c r="H38" s="56" t="s">
        <v>37</v>
      </c>
      <c r="I38" s="264">
        <f>SUM(K38:AD38)</f>
        <v>0</v>
      </c>
      <c r="J38" s="264">
        <f t="shared" si="1"/>
        <v>0</v>
      </c>
      <c r="K38" s="50"/>
      <c r="L38" s="50"/>
      <c r="M38" s="50"/>
      <c r="N38" s="50"/>
      <c r="O38" s="269"/>
      <c r="P38" s="269"/>
      <c r="Q38" s="272">
        <v>0</v>
      </c>
      <c r="R38" s="272">
        <v>0</v>
      </c>
      <c r="S38" s="265">
        <v>0</v>
      </c>
      <c r="T38" s="270">
        <v>0</v>
      </c>
      <c r="U38" s="266">
        <v>0</v>
      </c>
      <c r="V38" s="266">
        <v>0</v>
      </c>
      <c r="W38" s="266">
        <v>0</v>
      </c>
      <c r="X38" s="266"/>
      <c r="Y38" s="270"/>
      <c r="Z38" s="266"/>
      <c r="AA38" s="266"/>
      <c r="AB38" s="266"/>
      <c r="AC38" s="266"/>
      <c r="AD38" s="69"/>
      <c r="AF38" s="64"/>
      <c r="AI38" s="21"/>
      <c r="AJ38" s="21"/>
    </row>
    <row r="39" spans="1:38" ht="15.75" customHeight="1" outlineLevel="1" x14ac:dyDescent="0.25">
      <c r="A39" s="70"/>
      <c r="B39" s="71"/>
      <c r="C39" s="42"/>
      <c r="D39" s="67"/>
      <c r="E39" s="42"/>
      <c r="F39" s="72"/>
      <c r="G39" s="73"/>
      <c r="H39" s="56" t="s">
        <v>36</v>
      </c>
      <c r="I39" s="268">
        <f>12299.34/1000</f>
        <v>12.299340000000001</v>
      </c>
      <c r="J39" s="153">
        <f t="shared" si="1"/>
        <v>0</v>
      </c>
      <c r="K39" s="149"/>
      <c r="L39" s="149"/>
      <c r="M39" s="147"/>
      <c r="N39" s="147"/>
      <c r="O39" s="147"/>
      <c r="P39" s="147"/>
      <c r="Q39" s="147">
        <f>I39*Q38</f>
        <v>0</v>
      </c>
      <c r="R39" s="147">
        <f>I39*R38</f>
        <v>0</v>
      </c>
      <c r="S39" s="150">
        <f>I39*S38</f>
        <v>0</v>
      </c>
      <c r="T39" s="150">
        <f>$I39*T38</f>
        <v>0</v>
      </c>
      <c r="U39" s="150">
        <f t="shared" ref="U39:V39" si="10">$I39*U38</f>
        <v>0</v>
      </c>
      <c r="V39" s="150">
        <f t="shared" si="10"/>
        <v>0</v>
      </c>
      <c r="W39" s="150">
        <f>$I39*W38</f>
        <v>0</v>
      </c>
      <c r="X39" s="150">
        <f t="shared" ref="X39:AA39" si="11">$I39*X38</f>
        <v>0</v>
      </c>
      <c r="Y39" s="150">
        <f t="shared" si="11"/>
        <v>0</v>
      </c>
      <c r="Z39" s="150">
        <f t="shared" si="11"/>
        <v>0</v>
      </c>
      <c r="AA39" s="150">
        <f t="shared" si="11"/>
        <v>0</v>
      </c>
      <c r="AB39" s="150"/>
      <c r="AC39" s="150"/>
      <c r="AD39" s="53"/>
      <c r="AF39" s="75">
        <v>-8297.56675</v>
      </c>
      <c r="AG39" s="76" t="s">
        <v>38</v>
      </c>
      <c r="AI39" s="21">
        <v>13473.14</v>
      </c>
      <c r="AJ39" s="21">
        <f>I39</f>
        <v>12.299340000000001</v>
      </c>
      <c r="AK39" s="21"/>
    </row>
    <row r="40" spans="1:38" s="18" customFormat="1" ht="15.75" customHeight="1" outlineLevel="1" x14ac:dyDescent="0.25">
      <c r="A40" s="65">
        <v>7</v>
      </c>
      <c r="B40" s="271" t="s">
        <v>69</v>
      </c>
      <c r="C40" s="35"/>
      <c r="D40" s="246"/>
      <c r="E40" s="42">
        <f t="shared" ref="E40" si="12">DATEDIF(F40,G40,"d")</f>
        <v>29</v>
      </c>
      <c r="F40" s="55">
        <v>43983</v>
      </c>
      <c r="G40" s="55">
        <v>44012</v>
      </c>
      <c r="H40" s="56" t="s">
        <v>37</v>
      </c>
      <c r="I40" s="278">
        <f>SUM(K40:AD40)</f>
        <v>0</v>
      </c>
      <c r="J40" s="278">
        <f t="shared" si="1"/>
        <v>0</v>
      </c>
      <c r="K40" s="50"/>
      <c r="L40" s="50"/>
      <c r="M40" s="50"/>
      <c r="N40" s="50"/>
      <c r="O40" s="269"/>
      <c r="P40" s="269"/>
      <c r="Q40" s="272">
        <v>0</v>
      </c>
      <c r="R40" s="272">
        <v>0</v>
      </c>
      <c r="S40" s="265">
        <v>0</v>
      </c>
      <c r="T40" s="282">
        <v>0</v>
      </c>
      <c r="U40" s="282">
        <v>0</v>
      </c>
      <c r="V40" s="282">
        <v>0</v>
      </c>
      <c r="W40" s="282">
        <v>0</v>
      </c>
      <c r="X40" s="282"/>
      <c r="Y40" s="282"/>
      <c r="Z40" s="282"/>
      <c r="AA40" s="282"/>
      <c r="AB40" s="282"/>
      <c r="AC40" s="282"/>
      <c r="AD40" s="69"/>
      <c r="AF40" s="117"/>
      <c r="AI40" s="97"/>
    </row>
    <row r="41" spans="1:38" s="18" customFormat="1" ht="15.75" customHeight="1" outlineLevel="1" x14ac:dyDescent="0.25">
      <c r="A41" s="70"/>
      <c r="B41" s="247"/>
      <c r="C41" s="35"/>
      <c r="D41" s="246"/>
      <c r="E41" s="42"/>
      <c r="F41" s="248"/>
      <c r="G41" s="248"/>
      <c r="H41" s="56" t="s">
        <v>36</v>
      </c>
      <c r="I41" s="280">
        <f>86795.17/1000</f>
        <v>86.795169999999999</v>
      </c>
      <c r="J41" s="249">
        <f t="shared" si="1"/>
        <v>0</v>
      </c>
      <c r="K41" s="147"/>
      <c r="L41" s="147"/>
      <c r="M41" s="147"/>
      <c r="N41" s="147"/>
      <c r="O41" s="147"/>
      <c r="P41" s="147"/>
      <c r="Q41" s="147">
        <f>I41*Q40</f>
        <v>0</v>
      </c>
      <c r="R41" s="147">
        <f>I41*R40</f>
        <v>0</v>
      </c>
      <c r="S41" s="148">
        <f>I41*S40</f>
        <v>0</v>
      </c>
      <c r="T41" s="148">
        <f>$I41*T40</f>
        <v>0</v>
      </c>
      <c r="U41" s="148">
        <f>$I41*U40</f>
        <v>0</v>
      </c>
      <c r="V41" s="148">
        <f t="shared" ref="V41" si="13">$I41*V40</f>
        <v>0</v>
      </c>
      <c r="W41" s="150">
        <f>$I41*W40</f>
        <v>0</v>
      </c>
      <c r="X41" s="150">
        <f t="shared" ref="X41:AA41" si="14">$I41*X40</f>
        <v>0</v>
      </c>
      <c r="Y41" s="150">
        <f t="shared" si="14"/>
        <v>0</v>
      </c>
      <c r="Z41" s="150">
        <f t="shared" si="14"/>
        <v>0</v>
      </c>
      <c r="AA41" s="150">
        <f t="shared" si="14"/>
        <v>0</v>
      </c>
      <c r="AB41" s="148"/>
      <c r="AC41" s="148"/>
      <c r="AD41" s="69"/>
      <c r="AF41" s="109">
        <v>109.95413999999982</v>
      </c>
      <c r="AG41" s="97" t="e">
        <f>#REF!+#REF!+#REF!</f>
        <v>#REF!</v>
      </c>
      <c r="AI41" s="97">
        <v>6899.9044400000002</v>
      </c>
      <c r="AJ41" s="97">
        <f>I41</f>
        <v>86.795169999999999</v>
      </c>
    </row>
    <row r="42" spans="1:38" s="18" customFormat="1" ht="15.75" customHeight="1" outlineLevel="1" x14ac:dyDescent="0.25">
      <c r="A42" s="65">
        <v>8</v>
      </c>
      <c r="B42" s="271" t="s">
        <v>71</v>
      </c>
      <c r="C42" s="35"/>
      <c r="D42" s="246"/>
      <c r="E42" s="42">
        <f t="shared" ref="E42" si="15">DATEDIF(F42,G42,"d")</f>
        <v>29</v>
      </c>
      <c r="F42" s="55">
        <v>44013</v>
      </c>
      <c r="G42" s="55">
        <v>44042</v>
      </c>
      <c r="H42" s="56" t="s">
        <v>37</v>
      </c>
      <c r="I42" s="278">
        <f>SUM(K42:AD42)</f>
        <v>0</v>
      </c>
      <c r="J42" s="278">
        <f t="shared" si="1"/>
        <v>0</v>
      </c>
      <c r="K42" s="50"/>
      <c r="L42" s="50"/>
      <c r="M42" s="50"/>
      <c r="N42" s="50"/>
      <c r="O42" s="269"/>
      <c r="P42" s="269"/>
      <c r="Q42" s="269"/>
      <c r="R42" s="272">
        <v>0</v>
      </c>
      <c r="S42" s="265">
        <v>0</v>
      </c>
      <c r="T42" s="282">
        <v>0</v>
      </c>
      <c r="U42" s="282">
        <v>0</v>
      </c>
      <c r="V42" s="282">
        <v>0</v>
      </c>
      <c r="W42" s="282">
        <v>0</v>
      </c>
      <c r="X42" s="282"/>
      <c r="Y42" s="282"/>
      <c r="Z42" s="282"/>
      <c r="AA42" s="282"/>
      <c r="AB42" s="282"/>
      <c r="AC42" s="282"/>
      <c r="AD42" s="69"/>
      <c r="AF42" s="109"/>
      <c r="AI42" s="97"/>
      <c r="AJ42" s="97"/>
    </row>
    <row r="43" spans="1:38" s="18" customFormat="1" ht="15.75" customHeight="1" outlineLevel="1" x14ac:dyDescent="0.25">
      <c r="A43" s="70"/>
      <c r="B43" s="71"/>
      <c r="C43" s="35"/>
      <c r="D43" s="246"/>
      <c r="E43" s="42"/>
      <c r="F43" s="248"/>
      <c r="G43" s="248"/>
      <c r="H43" s="56" t="s">
        <v>36</v>
      </c>
      <c r="I43" s="280">
        <f>11790.77/1000</f>
        <v>11.79077</v>
      </c>
      <c r="J43" s="249">
        <f t="shared" si="1"/>
        <v>0</v>
      </c>
      <c r="K43" s="147"/>
      <c r="L43" s="147"/>
      <c r="M43" s="147"/>
      <c r="N43" s="147"/>
      <c r="O43" s="147"/>
      <c r="P43" s="147"/>
      <c r="Q43" s="147"/>
      <c r="R43" s="147">
        <f>I43*R42</f>
        <v>0</v>
      </c>
      <c r="S43" s="148">
        <f>$I43*S42</f>
        <v>0</v>
      </c>
      <c r="T43" s="148">
        <f t="shared" ref="T43:V43" si="16">$I43*T42</f>
        <v>0</v>
      </c>
      <c r="U43" s="148">
        <f t="shared" si="16"/>
        <v>0</v>
      </c>
      <c r="V43" s="148">
        <f t="shared" si="16"/>
        <v>0</v>
      </c>
      <c r="W43" s="150">
        <f>$I43*W42</f>
        <v>0</v>
      </c>
      <c r="X43" s="150">
        <f t="shared" ref="X43:AA43" si="17">$I43*X42</f>
        <v>0</v>
      </c>
      <c r="Y43" s="150">
        <f t="shared" si="17"/>
        <v>0</v>
      </c>
      <c r="Z43" s="150">
        <f t="shared" si="17"/>
        <v>0</v>
      </c>
      <c r="AA43" s="150">
        <f t="shared" si="17"/>
        <v>0</v>
      </c>
      <c r="AB43" s="148"/>
      <c r="AC43" s="148"/>
      <c r="AD43" s="69"/>
      <c r="AF43" s="109">
        <v>0.23423000000002503</v>
      </c>
      <c r="AI43" s="97">
        <v>7126.4367700000003</v>
      </c>
      <c r="AJ43" s="97">
        <f>I43</f>
        <v>11.79077</v>
      </c>
    </row>
    <row r="44" spans="1:38" s="18" customFormat="1" ht="15.75" customHeight="1" outlineLevel="1" x14ac:dyDescent="0.25">
      <c r="A44" s="65">
        <v>9</v>
      </c>
      <c r="B44" s="271" t="s">
        <v>105</v>
      </c>
      <c r="C44" s="42"/>
      <c r="D44" s="67"/>
      <c r="E44" s="42">
        <f t="shared" ref="E44" si="18">DATEDIF(F44,G44,"d")</f>
        <v>29</v>
      </c>
      <c r="F44" s="55">
        <v>44044</v>
      </c>
      <c r="G44" s="68">
        <v>44073</v>
      </c>
      <c r="H44" s="56" t="s">
        <v>37</v>
      </c>
      <c r="I44" s="278">
        <f>SUM(K44:AD44)</f>
        <v>0</v>
      </c>
      <c r="J44" s="278">
        <f t="shared" si="1"/>
        <v>0</v>
      </c>
      <c r="K44" s="50"/>
      <c r="L44" s="50"/>
      <c r="M44" s="50"/>
      <c r="N44" s="50"/>
      <c r="O44" s="269"/>
      <c r="P44" s="269"/>
      <c r="Q44" s="269"/>
      <c r="R44" s="269"/>
      <c r="S44" s="265">
        <v>0</v>
      </c>
      <c r="T44" s="282">
        <v>0</v>
      </c>
      <c r="U44" s="282">
        <v>0</v>
      </c>
      <c r="V44" s="282">
        <v>0</v>
      </c>
      <c r="W44" s="282">
        <v>0</v>
      </c>
      <c r="X44" s="282"/>
      <c r="Y44" s="282"/>
      <c r="Z44" s="282"/>
      <c r="AA44" s="283"/>
      <c r="AB44" s="283"/>
      <c r="AC44" s="283"/>
      <c r="AD44" s="69"/>
      <c r="AF44" s="109"/>
      <c r="AI44" s="97"/>
      <c r="AJ44" s="97"/>
    </row>
    <row r="45" spans="1:38" s="18" customFormat="1" ht="15.75" customHeight="1" outlineLevel="1" x14ac:dyDescent="0.25">
      <c r="A45" s="70"/>
      <c r="B45" s="247"/>
      <c r="C45" s="42"/>
      <c r="D45" s="67"/>
      <c r="E45" s="42"/>
      <c r="F45" s="72"/>
      <c r="G45" s="73"/>
      <c r="H45" s="56" t="s">
        <v>36</v>
      </c>
      <c r="I45" s="280">
        <f>2263624.85/1000</f>
        <v>2263.6248500000002</v>
      </c>
      <c r="J45" s="249">
        <f t="shared" si="1"/>
        <v>0</v>
      </c>
      <c r="K45" s="147"/>
      <c r="L45" s="147"/>
      <c r="M45" s="147"/>
      <c r="N45" s="147"/>
      <c r="O45" s="147"/>
      <c r="P45" s="147"/>
      <c r="Q45" s="147"/>
      <c r="R45" s="147"/>
      <c r="S45" s="150">
        <f>I45*S44</f>
        <v>0</v>
      </c>
      <c r="T45" s="150">
        <f>$I45*T44</f>
        <v>0</v>
      </c>
      <c r="U45" s="150">
        <f t="shared" ref="U45:V45" si="19">$I45*U44</f>
        <v>0</v>
      </c>
      <c r="V45" s="150">
        <f t="shared" si="19"/>
        <v>0</v>
      </c>
      <c r="W45" s="150">
        <f>$I45*W44</f>
        <v>0</v>
      </c>
      <c r="X45" s="150">
        <f t="shared" ref="X45:AA45" si="20">$I45*X44</f>
        <v>0</v>
      </c>
      <c r="Y45" s="150">
        <f t="shared" si="20"/>
        <v>0</v>
      </c>
      <c r="Z45" s="150">
        <f t="shared" si="20"/>
        <v>0</v>
      </c>
      <c r="AA45" s="150">
        <f t="shared" si="20"/>
        <v>0</v>
      </c>
      <c r="AB45" s="150"/>
      <c r="AC45" s="150"/>
      <c r="AD45" s="69"/>
      <c r="AF45" s="250">
        <v>-8297.56675</v>
      </c>
      <c r="AG45" s="251" t="s">
        <v>38</v>
      </c>
      <c r="AI45" s="97">
        <v>13473.14</v>
      </c>
      <c r="AJ45" s="97">
        <f>I45</f>
        <v>2263.6248500000002</v>
      </c>
      <c r="AK45" s="97"/>
    </row>
    <row r="46" spans="1:38" s="18" customFormat="1" ht="15.75" customHeight="1" outlineLevel="1" x14ac:dyDescent="0.25">
      <c r="A46" s="65">
        <v>10</v>
      </c>
      <c r="B46" s="271" t="s">
        <v>72</v>
      </c>
      <c r="C46" s="35"/>
      <c r="D46" s="246"/>
      <c r="E46" s="42">
        <f t="shared" ref="E46" si="21">DATEDIF(F46,G46,"d")</f>
        <v>29</v>
      </c>
      <c r="F46" s="55">
        <v>44075</v>
      </c>
      <c r="G46" s="55">
        <v>44104</v>
      </c>
      <c r="H46" s="56" t="s">
        <v>37</v>
      </c>
      <c r="I46" s="278">
        <f>SUM(K46:AD46)</f>
        <v>0</v>
      </c>
      <c r="J46" s="278">
        <f t="shared" si="1"/>
        <v>0</v>
      </c>
      <c r="K46" s="50"/>
      <c r="L46" s="50"/>
      <c r="M46" s="50"/>
      <c r="N46" s="50"/>
      <c r="O46" s="269"/>
      <c r="P46" s="269"/>
      <c r="Q46" s="269"/>
      <c r="R46" s="269"/>
      <c r="S46" s="267"/>
      <c r="T46" s="282">
        <v>0</v>
      </c>
      <c r="U46" s="282">
        <v>0</v>
      </c>
      <c r="V46" s="282">
        <v>0</v>
      </c>
      <c r="W46" s="282">
        <v>0</v>
      </c>
      <c r="X46" s="282"/>
      <c r="Y46" s="282"/>
      <c r="Z46" s="282"/>
      <c r="AA46" s="282"/>
      <c r="AB46" s="282"/>
      <c r="AC46" s="282"/>
      <c r="AD46" s="69"/>
      <c r="AF46" s="117"/>
      <c r="AI46" s="97"/>
    </row>
    <row r="47" spans="1:38" s="18" customFormat="1" ht="15.75" customHeight="1" outlineLevel="1" x14ac:dyDescent="0.25">
      <c r="A47" s="70"/>
      <c r="B47" s="247"/>
      <c r="C47" s="35"/>
      <c r="D47" s="246"/>
      <c r="E47" s="42"/>
      <c r="F47" s="248"/>
      <c r="G47" s="248"/>
      <c r="H47" s="56" t="s">
        <v>36</v>
      </c>
      <c r="I47" s="280">
        <f>140958.91/1000+46109.3/1000</f>
        <v>187.06821000000002</v>
      </c>
      <c r="J47" s="249">
        <f t="shared" si="1"/>
        <v>0</v>
      </c>
      <c r="K47" s="147"/>
      <c r="L47" s="147"/>
      <c r="M47" s="147"/>
      <c r="N47" s="147"/>
      <c r="O47" s="147"/>
      <c r="P47" s="147"/>
      <c r="Q47" s="147"/>
      <c r="R47" s="147"/>
      <c r="S47" s="148"/>
      <c r="T47" s="148">
        <f>$I47*T46</f>
        <v>0</v>
      </c>
      <c r="U47" s="148">
        <f t="shared" ref="U47:V47" si="22">$I47*U46</f>
        <v>0</v>
      </c>
      <c r="V47" s="148">
        <f t="shared" si="22"/>
        <v>0</v>
      </c>
      <c r="W47" s="150">
        <f>$I47*W46</f>
        <v>0</v>
      </c>
      <c r="X47" s="150">
        <f t="shared" ref="X47:AA47" si="23">$I47*X46</f>
        <v>0</v>
      </c>
      <c r="Y47" s="150">
        <f t="shared" si="23"/>
        <v>0</v>
      </c>
      <c r="Z47" s="150">
        <f t="shared" si="23"/>
        <v>0</v>
      </c>
      <c r="AA47" s="150">
        <f t="shared" si="23"/>
        <v>0</v>
      </c>
      <c r="AB47" s="148"/>
      <c r="AC47" s="148"/>
      <c r="AD47" s="69"/>
      <c r="AF47" s="109">
        <v>109.95413999999982</v>
      </c>
      <c r="AG47" s="97" t="e">
        <f>#REF!+#REF!+#REF!</f>
        <v>#REF!</v>
      </c>
      <c r="AI47" s="97">
        <v>6899.9044400000002</v>
      </c>
      <c r="AJ47" s="97">
        <f>I47</f>
        <v>187.06821000000002</v>
      </c>
    </row>
    <row r="48" spans="1:38" s="18" customFormat="1" ht="15.75" customHeight="1" outlineLevel="1" x14ac:dyDescent="0.25">
      <c r="A48" s="65">
        <v>11</v>
      </c>
      <c r="B48" s="271" t="s">
        <v>73</v>
      </c>
      <c r="C48" s="35"/>
      <c r="D48" s="246"/>
      <c r="E48" s="42">
        <f t="shared" ref="E48" si="24">DATEDIF(F48,G48,"d")</f>
        <v>29</v>
      </c>
      <c r="F48" s="55">
        <v>44105</v>
      </c>
      <c r="G48" s="55">
        <v>44134</v>
      </c>
      <c r="H48" s="56" t="s">
        <v>37</v>
      </c>
      <c r="I48" s="278">
        <f>SUM(K48:AD48)</f>
        <v>0</v>
      </c>
      <c r="J48" s="278">
        <f t="shared" si="1"/>
        <v>0</v>
      </c>
      <c r="K48" s="50"/>
      <c r="L48" s="50"/>
      <c r="M48" s="50"/>
      <c r="N48" s="50"/>
      <c r="O48" s="269"/>
      <c r="P48" s="269"/>
      <c r="Q48" s="269"/>
      <c r="R48" s="269"/>
      <c r="S48" s="267"/>
      <c r="T48" s="267"/>
      <c r="U48" s="282">
        <v>0</v>
      </c>
      <c r="V48" s="282">
        <v>0</v>
      </c>
      <c r="W48" s="282">
        <v>0</v>
      </c>
      <c r="X48" s="282"/>
      <c r="Y48" s="282"/>
      <c r="Z48" s="282"/>
      <c r="AA48" s="282"/>
      <c r="AB48" s="282"/>
      <c r="AC48" s="282"/>
      <c r="AD48" s="69"/>
      <c r="AF48" s="109"/>
      <c r="AI48" s="97"/>
      <c r="AJ48" s="97"/>
    </row>
    <row r="49" spans="1:37" s="18" customFormat="1" ht="15.75" customHeight="1" outlineLevel="1" x14ac:dyDescent="0.25">
      <c r="A49" s="70"/>
      <c r="B49" s="71"/>
      <c r="C49" s="35"/>
      <c r="D49" s="246"/>
      <c r="E49" s="42"/>
      <c r="F49" s="248"/>
      <c r="G49" s="248"/>
      <c r="H49" s="56" t="s">
        <v>36</v>
      </c>
      <c r="I49" s="280">
        <f>181208.09/1000</f>
        <v>181.20809</v>
      </c>
      <c r="J49" s="249">
        <f t="shared" si="1"/>
        <v>0</v>
      </c>
      <c r="K49" s="147"/>
      <c r="L49" s="147"/>
      <c r="M49" s="147"/>
      <c r="N49" s="147"/>
      <c r="O49" s="147"/>
      <c r="P49" s="147"/>
      <c r="Q49" s="147"/>
      <c r="R49" s="147"/>
      <c r="S49" s="148"/>
      <c r="T49" s="148"/>
      <c r="U49" s="148">
        <f>$I49*U48</f>
        <v>0</v>
      </c>
      <c r="V49" s="148">
        <f t="shared" ref="V49" si="25">$I49*V48</f>
        <v>0</v>
      </c>
      <c r="W49" s="150">
        <f>$I49*W48</f>
        <v>0</v>
      </c>
      <c r="X49" s="150">
        <f t="shared" ref="X49:AA49" si="26">$I49*X48</f>
        <v>0</v>
      </c>
      <c r="Y49" s="150">
        <f t="shared" si="26"/>
        <v>0</v>
      </c>
      <c r="Z49" s="150">
        <f t="shared" si="26"/>
        <v>0</v>
      </c>
      <c r="AA49" s="150">
        <f t="shared" si="26"/>
        <v>0</v>
      </c>
      <c r="AB49" s="148"/>
      <c r="AC49" s="148"/>
      <c r="AD49" s="69"/>
      <c r="AF49" s="109">
        <v>0.23423000000002503</v>
      </c>
      <c r="AI49" s="97">
        <v>7126.4367700000003</v>
      </c>
      <c r="AJ49" s="97">
        <f>I49</f>
        <v>181.20809</v>
      </c>
    </row>
    <row r="50" spans="1:37" ht="18.75" customHeight="1" x14ac:dyDescent="0.25">
      <c r="A50" s="34"/>
      <c r="B50" s="284" t="s">
        <v>104</v>
      </c>
      <c r="C50" s="42"/>
      <c r="D50" s="67"/>
      <c r="E50" s="42"/>
      <c r="F50" s="77"/>
      <c r="G50" s="56"/>
      <c r="H50" s="56"/>
      <c r="I50" s="78"/>
      <c r="J50" s="78">
        <f t="shared" si="1"/>
        <v>0</v>
      </c>
      <c r="K50" s="74"/>
      <c r="L50" s="74"/>
      <c r="M50" s="50"/>
      <c r="N50" s="50"/>
      <c r="O50" s="50"/>
      <c r="P50" s="50"/>
      <c r="Q50" s="50"/>
      <c r="R50" s="50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3"/>
      <c r="AF50" s="64"/>
      <c r="AI50" s="21"/>
      <c r="AJ50" s="21"/>
    </row>
    <row r="51" spans="1:37" ht="15.75" customHeight="1" outlineLevel="1" x14ac:dyDescent="0.25">
      <c r="A51" s="79" t="s">
        <v>93</v>
      </c>
      <c r="B51" s="534" t="s">
        <v>92</v>
      </c>
      <c r="C51" s="38"/>
      <c r="D51" s="80"/>
      <c r="E51" s="38">
        <f t="shared" ref="E51" si="27">DATEDIF(F51,G51,"d")</f>
        <v>39</v>
      </c>
      <c r="F51" s="81">
        <v>44075</v>
      </c>
      <c r="G51" s="81">
        <v>44114</v>
      </c>
      <c r="H51" s="56" t="s">
        <v>37</v>
      </c>
      <c r="I51" s="264">
        <f>SUM(K51:AD51)</f>
        <v>0</v>
      </c>
      <c r="J51" s="285">
        <f t="shared" si="1"/>
        <v>0</v>
      </c>
      <c r="K51" s="74"/>
      <c r="L51" s="74"/>
      <c r="M51" s="50"/>
      <c r="N51" s="50"/>
      <c r="O51" s="50"/>
      <c r="P51" s="50"/>
      <c r="Q51" s="50"/>
      <c r="R51" s="50"/>
      <c r="S51" s="51"/>
      <c r="T51" s="270">
        <v>0</v>
      </c>
      <c r="U51" s="270">
        <v>0</v>
      </c>
      <c r="V51" s="270">
        <v>0</v>
      </c>
      <c r="W51" s="270">
        <v>0</v>
      </c>
      <c r="X51" s="270"/>
      <c r="Y51" s="270"/>
      <c r="Z51" s="270"/>
      <c r="AA51" s="270"/>
      <c r="AB51" s="270"/>
      <c r="AC51" s="270"/>
      <c r="AD51" s="53"/>
      <c r="AF51" s="64"/>
      <c r="AI51" s="21"/>
      <c r="AJ51" s="21"/>
    </row>
    <row r="52" spans="1:37" ht="15.75" customHeight="1" outlineLevel="1" x14ac:dyDescent="0.25">
      <c r="A52" s="60"/>
      <c r="B52" s="535"/>
      <c r="C52" s="49"/>
      <c r="D52" s="30"/>
      <c r="E52" s="42"/>
      <c r="F52" s="62"/>
      <c r="G52" s="62"/>
      <c r="H52" s="56" t="s">
        <v>36</v>
      </c>
      <c r="I52" s="286">
        <f>1701346.12/1000</f>
        <v>1701.3461200000002</v>
      </c>
      <c r="J52" s="154">
        <f t="shared" si="1"/>
        <v>0</v>
      </c>
      <c r="K52" s="147"/>
      <c r="L52" s="147"/>
      <c r="M52" s="147"/>
      <c r="N52" s="147"/>
      <c r="O52" s="147"/>
      <c r="P52" s="147"/>
      <c r="Q52" s="147"/>
      <c r="R52" s="147"/>
      <c r="S52" s="148"/>
      <c r="T52" s="148">
        <f>$I52*T51</f>
        <v>0</v>
      </c>
      <c r="U52" s="148">
        <f t="shared" ref="U52:V52" si="28">$I52*U51</f>
        <v>0</v>
      </c>
      <c r="V52" s="148">
        <f t="shared" si="28"/>
        <v>0</v>
      </c>
      <c r="W52" s="150">
        <f>$I52*W51</f>
        <v>0</v>
      </c>
      <c r="X52" s="150">
        <f t="shared" ref="X52:AA52" si="29">$I52*X51</f>
        <v>0</v>
      </c>
      <c r="Y52" s="150">
        <f t="shared" si="29"/>
        <v>0</v>
      </c>
      <c r="Z52" s="150">
        <f t="shared" si="29"/>
        <v>0</v>
      </c>
      <c r="AA52" s="150">
        <f t="shared" si="29"/>
        <v>0</v>
      </c>
      <c r="AB52" s="148"/>
      <c r="AC52" s="148"/>
      <c r="AD52" s="53"/>
      <c r="AF52" s="64">
        <v>109.95413999999982</v>
      </c>
      <c r="AG52" s="21" t="e">
        <f>#REF!+#REF!+#REF!</f>
        <v>#REF!</v>
      </c>
      <c r="AI52" s="21">
        <v>6899.9044400000002</v>
      </c>
      <c r="AJ52" s="21">
        <f>I52</f>
        <v>1701.3461200000002</v>
      </c>
    </row>
    <row r="53" spans="1:37" s="18" customFormat="1" ht="18.75" customHeight="1" outlineLevel="1" x14ac:dyDescent="0.25">
      <c r="A53" s="92" t="s">
        <v>95</v>
      </c>
      <c r="B53" s="536" t="s">
        <v>96</v>
      </c>
      <c r="C53" s="42"/>
      <c r="D53" s="67"/>
      <c r="E53" s="42">
        <f t="shared" ref="E53" si="30">DATEDIF(F53,G53,"d")</f>
        <v>39</v>
      </c>
      <c r="F53" s="55">
        <v>44075</v>
      </c>
      <c r="G53" s="55">
        <v>44114</v>
      </c>
      <c r="H53" s="56" t="s">
        <v>37</v>
      </c>
      <c r="I53" s="278">
        <f>SUM(K53:AD53)</f>
        <v>0</v>
      </c>
      <c r="J53" s="285">
        <f t="shared" si="1"/>
        <v>0</v>
      </c>
      <c r="K53" s="50"/>
      <c r="L53" s="50"/>
      <c r="M53" s="50"/>
      <c r="N53" s="50"/>
      <c r="O53" s="50"/>
      <c r="P53" s="50"/>
      <c r="Q53" s="50"/>
      <c r="R53" s="50"/>
      <c r="S53" s="51"/>
      <c r="T53" s="282">
        <v>0</v>
      </c>
      <c r="U53" s="282">
        <v>0</v>
      </c>
      <c r="V53" s="282">
        <v>0</v>
      </c>
      <c r="W53" s="282">
        <v>0</v>
      </c>
      <c r="X53" s="282"/>
      <c r="Y53" s="282"/>
      <c r="Z53" s="282"/>
      <c r="AA53" s="282"/>
      <c r="AB53" s="282"/>
      <c r="AC53" s="282"/>
      <c r="AD53" s="69"/>
      <c r="AF53" s="109"/>
      <c r="AI53" s="97"/>
      <c r="AJ53" s="97"/>
    </row>
    <row r="54" spans="1:37" s="18" customFormat="1" ht="20.25" customHeight="1" outlineLevel="1" x14ac:dyDescent="0.25">
      <c r="A54" s="70"/>
      <c r="B54" s="537"/>
      <c r="C54" s="35"/>
      <c r="D54" s="246"/>
      <c r="E54" s="42"/>
      <c r="F54" s="248"/>
      <c r="G54" s="248"/>
      <c r="H54" s="56" t="s">
        <v>36</v>
      </c>
      <c r="I54" s="287">
        <f>138943.6/1000</f>
        <v>138.9436</v>
      </c>
      <c r="J54" s="154">
        <f t="shared" si="1"/>
        <v>0</v>
      </c>
      <c r="K54" s="147"/>
      <c r="L54" s="147"/>
      <c r="M54" s="147"/>
      <c r="N54" s="147"/>
      <c r="O54" s="147"/>
      <c r="P54" s="147"/>
      <c r="Q54" s="147"/>
      <c r="R54" s="147"/>
      <c r="S54" s="148"/>
      <c r="T54" s="148">
        <f>$I54*T53</f>
        <v>0</v>
      </c>
      <c r="U54" s="148">
        <f t="shared" ref="U54:V54" si="31">$I54*U53</f>
        <v>0</v>
      </c>
      <c r="V54" s="148">
        <f t="shared" si="31"/>
        <v>0</v>
      </c>
      <c r="W54" s="150">
        <f>$I54*W53</f>
        <v>0</v>
      </c>
      <c r="X54" s="150"/>
      <c r="Y54" s="150">
        <f t="shared" ref="Y54:AA54" si="32">$I54*Y53</f>
        <v>0</v>
      </c>
      <c r="Z54" s="150">
        <f t="shared" si="32"/>
        <v>0</v>
      </c>
      <c r="AA54" s="150">
        <f t="shared" si="32"/>
        <v>0</v>
      </c>
      <c r="AB54" s="148"/>
      <c r="AC54" s="148"/>
      <c r="AD54" s="69"/>
      <c r="AF54" s="109">
        <v>109.95413999999982</v>
      </c>
      <c r="AG54" s="97" t="e">
        <f>#REF!+#REF!+#REF!</f>
        <v>#REF!</v>
      </c>
      <c r="AI54" s="97">
        <v>6899.9044400000002</v>
      </c>
      <c r="AJ54" s="97">
        <f>I54</f>
        <v>138.9436</v>
      </c>
    </row>
    <row r="55" spans="1:37" ht="18.75" customHeight="1" x14ac:dyDescent="0.25">
      <c r="A55" s="34" t="s">
        <v>76</v>
      </c>
      <c r="B55" s="284" t="s">
        <v>74</v>
      </c>
      <c r="C55" s="42"/>
      <c r="D55" s="67"/>
      <c r="E55" s="42"/>
      <c r="F55" s="77"/>
      <c r="G55" s="56"/>
      <c r="H55" s="56"/>
      <c r="I55" s="78"/>
      <c r="J55" s="78">
        <f t="shared" si="1"/>
        <v>0</v>
      </c>
      <c r="K55" s="74"/>
      <c r="L55" s="74"/>
      <c r="M55" s="50"/>
      <c r="N55" s="50"/>
      <c r="O55" s="50"/>
      <c r="P55" s="50"/>
      <c r="Q55" s="50"/>
      <c r="R55" s="50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3"/>
      <c r="AF55" s="64"/>
      <c r="AI55" s="21"/>
      <c r="AJ55" s="21"/>
    </row>
    <row r="56" spans="1:37" ht="15.75" customHeight="1" x14ac:dyDescent="0.25">
      <c r="A56" s="54"/>
      <c r="B56" s="419" t="s">
        <v>75</v>
      </c>
      <c r="C56" s="288"/>
      <c r="D56" s="289"/>
      <c r="E56" s="290">
        <f t="shared" ref="E56" si="33">DATEDIF(F56,G56,"d")</f>
        <v>59</v>
      </c>
      <c r="F56" s="291">
        <v>43922</v>
      </c>
      <c r="G56" s="291">
        <v>43981</v>
      </c>
      <c r="H56" s="292" t="s">
        <v>37</v>
      </c>
      <c r="I56" s="293">
        <f>SUM(K56:AD56)</f>
        <v>0</v>
      </c>
      <c r="J56" s="264">
        <f t="shared" si="1"/>
        <v>0</v>
      </c>
      <c r="K56" s="50"/>
      <c r="L56" s="50"/>
      <c r="M56" s="50"/>
      <c r="N56" s="50"/>
      <c r="O56" s="265">
        <v>0</v>
      </c>
      <c r="P56" s="265">
        <f>100%*0</f>
        <v>0</v>
      </c>
      <c r="Q56" s="265">
        <v>0</v>
      </c>
      <c r="R56" s="265">
        <v>0</v>
      </c>
      <c r="S56" s="265">
        <v>0</v>
      </c>
      <c r="T56" s="270">
        <v>0</v>
      </c>
      <c r="U56" s="270">
        <v>0</v>
      </c>
      <c r="V56" s="270">
        <v>0</v>
      </c>
      <c r="W56" s="270">
        <v>0</v>
      </c>
      <c r="X56" s="270"/>
      <c r="Y56" s="270"/>
      <c r="Z56" s="270"/>
      <c r="AA56" s="270"/>
      <c r="AB56" s="270"/>
      <c r="AC56" s="270"/>
      <c r="AD56" s="53"/>
      <c r="AF56" s="64"/>
      <c r="AI56" s="21"/>
      <c r="AJ56" s="21"/>
    </row>
    <row r="57" spans="1:37" ht="15.75" customHeight="1" x14ac:dyDescent="0.25">
      <c r="A57" s="60"/>
      <c r="B57" s="83"/>
      <c r="C57" s="288"/>
      <c r="D57" s="289"/>
      <c r="E57" s="290"/>
      <c r="F57" s="294"/>
      <c r="G57" s="294"/>
      <c r="H57" s="292" t="s">
        <v>36</v>
      </c>
      <c r="I57" s="268">
        <f>3430155.89/1000+287459.24/1000+116362.95/1000+51631.73/1000+16529.31/1000</f>
        <v>3902.1391200000003</v>
      </c>
      <c r="J57" s="153">
        <f t="shared" si="1"/>
        <v>0</v>
      </c>
      <c r="K57" s="147"/>
      <c r="L57" s="147"/>
      <c r="M57" s="147"/>
      <c r="N57" s="147"/>
      <c r="O57" s="147">
        <f>I57*O56</f>
        <v>0</v>
      </c>
      <c r="P57" s="147">
        <f>I57*P56</f>
        <v>0</v>
      </c>
      <c r="Q57" s="147">
        <f>I57*Q56</f>
        <v>0</v>
      </c>
      <c r="R57" s="147">
        <f>I57*R56</f>
        <v>0</v>
      </c>
      <c r="S57" s="148">
        <f>$I57*S56</f>
        <v>0</v>
      </c>
      <c r="T57" s="148">
        <f t="shared" ref="T57:V57" si="34">$I57*T56</f>
        <v>0</v>
      </c>
      <c r="U57" s="148">
        <f t="shared" si="34"/>
        <v>0</v>
      </c>
      <c r="V57" s="148">
        <f t="shared" si="34"/>
        <v>0</v>
      </c>
      <c r="W57" s="150">
        <f>$I57*W56</f>
        <v>0</v>
      </c>
      <c r="X57" s="150">
        <f t="shared" ref="X57:AA57" si="35">$I57*X56</f>
        <v>0</v>
      </c>
      <c r="Y57" s="150">
        <f t="shared" si="35"/>
        <v>0</v>
      </c>
      <c r="Z57" s="150">
        <f t="shared" si="35"/>
        <v>0</v>
      </c>
      <c r="AA57" s="150">
        <f t="shared" si="35"/>
        <v>0</v>
      </c>
      <c r="AB57" s="148"/>
      <c r="AC57" s="148"/>
      <c r="AD57" s="53"/>
      <c r="AE57" s="273"/>
      <c r="AF57" s="64">
        <v>0.23423000000002503</v>
      </c>
      <c r="AI57" s="21">
        <v>7126.4367700000003</v>
      </c>
      <c r="AJ57" s="21">
        <f>I57</f>
        <v>3902.1391200000003</v>
      </c>
    </row>
    <row r="58" spans="1:37" ht="18.75" customHeight="1" x14ac:dyDescent="0.25">
      <c r="A58" s="34"/>
      <c r="B58" s="284" t="s">
        <v>77</v>
      </c>
      <c r="C58" s="42"/>
      <c r="D58" s="67"/>
      <c r="E58" s="42"/>
      <c r="F58" s="77"/>
      <c r="G58" s="56"/>
      <c r="H58" s="56"/>
      <c r="I58" s="78"/>
      <c r="J58" s="78">
        <f t="shared" si="1"/>
        <v>0</v>
      </c>
      <c r="K58" s="74"/>
      <c r="L58" s="74"/>
      <c r="M58" s="50"/>
      <c r="N58" s="50"/>
      <c r="O58" s="50"/>
      <c r="P58" s="50"/>
      <c r="Q58" s="50"/>
      <c r="R58" s="50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3"/>
      <c r="AF58" s="64"/>
      <c r="AI58" s="21"/>
      <c r="AJ58" s="21"/>
    </row>
    <row r="59" spans="1:37" ht="15.75" customHeight="1" x14ac:dyDescent="0.25">
      <c r="A59" s="79" t="s">
        <v>78</v>
      </c>
      <c r="B59" s="419" t="s">
        <v>80</v>
      </c>
      <c r="C59" s="38"/>
      <c r="D59" s="80"/>
      <c r="E59" s="38">
        <f t="shared" si="3"/>
        <v>20</v>
      </c>
      <c r="F59" s="81">
        <v>44114</v>
      </c>
      <c r="G59" s="81">
        <v>44134</v>
      </c>
      <c r="H59" s="56" t="s">
        <v>37</v>
      </c>
      <c r="I59" s="264">
        <f>SUM(K59:AD59)</f>
        <v>0</v>
      </c>
      <c r="J59" s="264">
        <f t="shared" si="1"/>
        <v>0</v>
      </c>
      <c r="K59" s="74"/>
      <c r="L59" s="74"/>
      <c r="M59" s="50"/>
      <c r="N59" s="50"/>
      <c r="O59" s="50"/>
      <c r="P59" s="50"/>
      <c r="Q59" s="50"/>
      <c r="R59" s="50"/>
      <c r="S59" s="51"/>
      <c r="T59" s="51"/>
      <c r="U59" s="270">
        <v>0</v>
      </c>
      <c r="V59" s="270">
        <v>0</v>
      </c>
      <c r="W59" s="270">
        <v>0</v>
      </c>
      <c r="X59" s="270"/>
      <c r="Y59" s="270"/>
      <c r="Z59" s="270"/>
      <c r="AA59" s="270"/>
      <c r="AB59" s="270"/>
      <c r="AC59" s="270"/>
      <c r="AD59" s="53"/>
      <c r="AE59" s="273"/>
      <c r="AF59" s="64"/>
      <c r="AI59" s="21"/>
      <c r="AJ59" s="21"/>
    </row>
    <row r="60" spans="1:37" ht="15.75" customHeight="1" x14ac:dyDescent="0.25">
      <c r="A60" s="82"/>
      <c r="B60" s="83"/>
      <c r="C60" s="38"/>
      <c r="D60" s="80"/>
      <c r="E60" s="38"/>
      <c r="F60" s="84"/>
      <c r="G60" s="84"/>
      <c r="H60" s="56" t="s">
        <v>36</v>
      </c>
      <c r="I60" s="295">
        <f>454309.28/1000</f>
        <v>454.30928</v>
      </c>
      <c r="J60" s="153">
        <f t="shared" si="1"/>
        <v>0</v>
      </c>
      <c r="K60" s="149"/>
      <c r="L60" s="149"/>
      <c r="M60" s="147"/>
      <c r="N60" s="147"/>
      <c r="O60" s="147"/>
      <c r="P60" s="147"/>
      <c r="Q60" s="147"/>
      <c r="R60" s="147"/>
      <c r="S60" s="148"/>
      <c r="T60" s="148"/>
      <c r="U60" s="148">
        <f>$I60*U59</f>
        <v>0</v>
      </c>
      <c r="V60" s="148">
        <f t="shared" ref="V60" si="36">$I60*V59</f>
        <v>0</v>
      </c>
      <c r="W60" s="150">
        <f>$I60*W59</f>
        <v>0</v>
      </c>
      <c r="X60" s="150">
        <f t="shared" ref="X60:AA60" si="37">$I60*X59</f>
        <v>0</v>
      </c>
      <c r="Y60" s="150">
        <f t="shared" si="37"/>
        <v>0</v>
      </c>
      <c r="Z60" s="150">
        <f t="shared" si="37"/>
        <v>0</v>
      </c>
      <c r="AA60" s="150">
        <f t="shared" si="37"/>
        <v>0</v>
      </c>
      <c r="AB60" s="148"/>
      <c r="AC60" s="148"/>
      <c r="AD60" s="53"/>
      <c r="AF60" s="64"/>
      <c r="AI60" s="21"/>
      <c r="AJ60" s="21"/>
    </row>
    <row r="61" spans="1:37" s="18" customFormat="1" ht="15.75" customHeight="1" x14ac:dyDescent="0.25">
      <c r="A61" s="79" t="s">
        <v>79</v>
      </c>
      <c r="B61" s="419" t="s">
        <v>81</v>
      </c>
      <c r="C61" s="42"/>
      <c r="D61" s="67"/>
      <c r="E61" s="42"/>
      <c r="F61" s="55">
        <v>44105</v>
      </c>
      <c r="G61" s="68">
        <v>44134</v>
      </c>
      <c r="H61" s="56" t="s">
        <v>37</v>
      </c>
      <c r="I61" s="264">
        <f>SUM(K61:AD61)</f>
        <v>0</v>
      </c>
      <c r="J61" s="264">
        <f t="shared" si="1"/>
        <v>0</v>
      </c>
      <c r="K61" s="50"/>
      <c r="L61" s="50"/>
      <c r="M61" s="50"/>
      <c r="N61" s="50"/>
      <c r="O61" s="50"/>
      <c r="P61" s="50"/>
      <c r="Q61" s="269"/>
      <c r="R61" s="269"/>
      <c r="S61" s="267"/>
      <c r="T61" s="270">
        <v>0</v>
      </c>
      <c r="U61" s="270">
        <v>0</v>
      </c>
      <c r="V61" s="270">
        <v>0</v>
      </c>
      <c r="W61" s="270">
        <v>0</v>
      </c>
      <c r="X61" s="270"/>
      <c r="Y61" s="270"/>
      <c r="Z61" s="270"/>
      <c r="AA61" s="270"/>
      <c r="AB61" s="270"/>
      <c r="AC61" s="270"/>
      <c r="AD61" s="69"/>
      <c r="AE61" s="262"/>
      <c r="AF61" s="64"/>
      <c r="AI61" s="21"/>
      <c r="AJ61" s="21"/>
    </row>
    <row r="62" spans="1:37" ht="15.75" customHeight="1" x14ac:dyDescent="0.25">
      <c r="A62" s="85"/>
      <c r="B62" s="61"/>
      <c r="C62" s="42"/>
      <c r="D62" s="42"/>
      <c r="E62" s="38">
        <f>DATEDIF(F61,G61,"d")</f>
        <v>29</v>
      </c>
      <c r="F62" s="62"/>
      <c r="G62" s="62"/>
      <c r="H62" s="56" t="s">
        <v>36</v>
      </c>
      <c r="I62" s="295">
        <f>398335.01/1000+129861.16/1000+4687.01/1000+157382.44/1000+351706.29/1000</f>
        <v>1041.97191</v>
      </c>
      <c r="J62" s="153">
        <f t="shared" si="1"/>
        <v>0</v>
      </c>
      <c r="K62" s="149"/>
      <c r="L62" s="149"/>
      <c r="M62" s="147"/>
      <c r="N62" s="147"/>
      <c r="O62" s="147"/>
      <c r="P62" s="147"/>
      <c r="Q62" s="151"/>
      <c r="R62" s="151"/>
      <c r="S62" s="150"/>
      <c r="T62" s="150">
        <f>$I62*T61</f>
        <v>0</v>
      </c>
      <c r="U62" s="150">
        <f t="shared" ref="U62:V62" si="38">$I62*U61</f>
        <v>0</v>
      </c>
      <c r="V62" s="150">
        <f t="shared" si="38"/>
        <v>0</v>
      </c>
      <c r="W62" s="150">
        <f>$I62*W61</f>
        <v>0</v>
      </c>
      <c r="X62" s="150">
        <f t="shared" ref="X62:AA62" si="39">$I62*X61</f>
        <v>0</v>
      </c>
      <c r="Y62" s="150">
        <f t="shared" si="39"/>
        <v>0</v>
      </c>
      <c r="Z62" s="150">
        <f t="shared" si="39"/>
        <v>0</v>
      </c>
      <c r="AA62" s="150">
        <f t="shared" si="39"/>
        <v>0</v>
      </c>
      <c r="AB62" s="150"/>
      <c r="AC62" s="150"/>
      <c r="AD62" s="53"/>
      <c r="AF62" s="64">
        <v>-14231.1149999999</v>
      </c>
      <c r="AI62" s="21">
        <f>379546.72</f>
        <v>379546.72</v>
      </c>
      <c r="AJ62" s="21">
        <f>I62</f>
        <v>1041.97191</v>
      </c>
      <c r="AK62" s="21"/>
    </row>
    <row r="63" spans="1:37" s="18" customFormat="1" ht="22.5" customHeight="1" x14ac:dyDescent="0.25">
      <c r="A63" s="79" t="s">
        <v>98</v>
      </c>
      <c r="B63" s="534" t="s">
        <v>101</v>
      </c>
      <c r="C63" s="42"/>
      <c r="D63" s="67"/>
      <c r="E63" s="42"/>
      <c r="F63" s="55">
        <v>44105</v>
      </c>
      <c r="G63" s="68">
        <v>44134</v>
      </c>
      <c r="H63" s="56" t="s">
        <v>37</v>
      </c>
      <c r="I63" s="264">
        <f>SUM(K63:AD63)</f>
        <v>0</v>
      </c>
      <c r="J63" s="264">
        <f t="shared" si="1"/>
        <v>0</v>
      </c>
      <c r="K63" s="74"/>
      <c r="L63" s="50"/>
      <c r="M63" s="50"/>
      <c r="N63" s="50"/>
      <c r="O63" s="50"/>
      <c r="P63" s="50"/>
      <c r="Q63" s="269"/>
      <c r="R63" s="269"/>
      <c r="S63" s="267"/>
      <c r="T63" s="270">
        <v>0</v>
      </c>
      <c r="U63" s="270">
        <v>0</v>
      </c>
      <c r="V63" s="270">
        <v>0</v>
      </c>
      <c r="W63" s="270">
        <v>0</v>
      </c>
      <c r="X63" s="270"/>
      <c r="Y63" s="270"/>
      <c r="Z63" s="270"/>
      <c r="AA63" s="270"/>
      <c r="AB63" s="270"/>
      <c r="AC63" s="270"/>
      <c r="AD63" s="69"/>
      <c r="AE63" s="262"/>
      <c r="AF63" s="64"/>
      <c r="AI63" s="21"/>
      <c r="AJ63" s="21"/>
    </row>
    <row r="64" spans="1:37" ht="20.25" customHeight="1" x14ac:dyDescent="0.25">
      <c r="A64" s="85"/>
      <c r="B64" s="535"/>
      <c r="C64" s="42"/>
      <c r="D64" s="42"/>
      <c r="E64" s="38">
        <f>DATEDIF(F63,G63,"d")</f>
        <v>29</v>
      </c>
      <c r="F64" s="62"/>
      <c r="G64" s="62"/>
      <c r="H64" s="56" t="s">
        <v>36</v>
      </c>
      <c r="I64" s="163">
        <f>I23*651.82972*1.051*1.05*0</f>
        <v>0</v>
      </c>
      <c r="J64" s="153">
        <f t="shared" si="1"/>
        <v>0</v>
      </c>
      <c r="K64" s="149"/>
      <c r="L64" s="149"/>
      <c r="M64" s="147"/>
      <c r="N64" s="147"/>
      <c r="O64" s="147"/>
      <c r="P64" s="147"/>
      <c r="Q64" s="151"/>
      <c r="R64" s="151"/>
      <c r="S64" s="150"/>
      <c r="T64" s="150">
        <f>$I64*T63</f>
        <v>0</v>
      </c>
      <c r="U64" s="150">
        <f t="shared" ref="U64:V64" si="40">$I64*U63</f>
        <v>0</v>
      </c>
      <c r="V64" s="150">
        <f t="shared" si="40"/>
        <v>0</v>
      </c>
      <c r="W64" s="150">
        <f>$I64*W63</f>
        <v>0</v>
      </c>
      <c r="X64" s="150">
        <f t="shared" ref="X64:AA64" si="41">$I64*X63</f>
        <v>0</v>
      </c>
      <c r="Y64" s="150">
        <f t="shared" si="41"/>
        <v>0</v>
      </c>
      <c r="Z64" s="150">
        <f t="shared" si="41"/>
        <v>0</v>
      </c>
      <c r="AA64" s="150">
        <f t="shared" si="41"/>
        <v>0</v>
      </c>
      <c r="AB64" s="150"/>
      <c r="AC64" s="150"/>
      <c r="AD64" s="53"/>
      <c r="AF64" s="64">
        <v>4649.6780199999994</v>
      </c>
      <c r="AI64" s="21">
        <v>11922.421979999999</v>
      </c>
      <c r="AJ64" s="21">
        <f>I64</f>
        <v>0</v>
      </c>
      <c r="AK64" s="21"/>
    </row>
    <row r="65" spans="1:40" s="18" customFormat="1" ht="18.75" customHeight="1" x14ac:dyDescent="0.25">
      <c r="A65" s="79" t="s">
        <v>100</v>
      </c>
      <c r="B65" s="534" t="s">
        <v>103</v>
      </c>
      <c r="C65" s="42"/>
      <c r="D65" s="67"/>
      <c r="E65" s="42"/>
      <c r="F65" s="55">
        <v>44105</v>
      </c>
      <c r="G65" s="68">
        <v>44134</v>
      </c>
      <c r="H65" s="56" t="s">
        <v>37</v>
      </c>
      <c r="I65" s="264">
        <f>SUM(K65:AD65)</f>
        <v>0</v>
      </c>
      <c r="J65" s="264">
        <f t="shared" si="1"/>
        <v>0</v>
      </c>
      <c r="K65" s="74"/>
      <c r="L65" s="50"/>
      <c r="M65" s="50"/>
      <c r="N65" s="50"/>
      <c r="O65" s="50"/>
      <c r="P65" s="50"/>
      <c r="Q65" s="269"/>
      <c r="R65" s="269"/>
      <c r="S65" s="267"/>
      <c r="T65" s="270">
        <v>0</v>
      </c>
      <c r="U65" s="270">
        <v>0</v>
      </c>
      <c r="V65" s="270">
        <v>0</v>
      </c>
      <c r="W65" s="270">
        <v>0</v>
      </c>
      <c r="X65" s="270"/>
      <c r="Y65" s="270"/>
      <c r="Z65" s="270"/>
      <c r="AA65" s="270"/>
      <c r="AB65" s="270"/>
      <c r="AC65" s="270"/>
      <c r="AD65" s="69"/>
      <c r="AF65" s="64"/>
      <c r="AI65" s="21"/>
      <c r="AJ65" s="21"/>
    </row>
    <row r="66" spans="1:40" ht="18.75" customHeight="1" x14ac:dyDescent="0.25">
      <c r="A66" s="85"/>
      <c r="B66" s="535"/>
      <c r="C66" s="42"/>
      <c r="D66" s="42"/>
      <c r="E66" s="38">
        <f>DATEDIF(F65,G65,"d")</f>
        <v>29</v>
      </c>
      <c r="F66" s="62"/>
      <c r="G66" s="62"/>
      <c r="H66" s="56" t="s">
        <v>36</v>
      </c>
      <c r="I66" s="161">
        <f>I23*508.24753*1.051*1.05*0</f>
        <v>0</v>
      </c>
      <c r="J66" s="153">
        <f t="shared" si="1"/>
        <v>0</v>
      </c>
      <c r="K66" s="149"/>
      <c r="L66" s="149"/>
      <c r="M66" s="147"/>
      <c r="N66" s="147"/>
      <c r="O66" s="147"/>
      <c r="P66" s="147"/>
      <c r="Q66" s="151"/>
      <c r="R66" s="151"/>
      <c r="S66" s="150"/>
      <c r="T66" s="150">
        <f>$I66*T65</f>
        <v>0</v>
      </c>
      <c r="U66" s="150">
        <f t="shared" ref="U66:V66" si="42">$I66*U65</f>
        <v>0</v>
      </c>
      <c r="V66" s="150">
        <f t="shared" si="42"/>
        <v>0</v>
      </c>
      <c r="W66" s="150">
        <f>$I66*W65</f>
        <v>0</v>
      </c>
      <c r="X66" s="150">
        <f t="shared" ref="X66:AA66" si="43">$I66*X65</f>
        <v>0</v>
      </c>
      <c r="Y66" s="150">
        <f t="shared" si="43"/>
        <v>0</v>
      </c>
      <c r="Z66" s="150">
        <f t="shared" si="43"/>
        <v>0</v>
      </c>
      <c r="AA66" s="150">
        <f t="shared" si="43"/>
        <v>0</v>
      </c>
      <c r="AB66" s="150"/>
      <c r="AC66" s="150"/>
      <c r="AD66" s="53"/>
      <c r="AF66" s="64">
        <v>4649.6780199999994</v>
      </c>
      <c r="AI66" s="21">
        <v>11922.421979999999</v>
      </c>
      <c r="AJ66" s="21">
        <f>I66</f>
        <v>0</v>
      </c>
      <c r="AK66" s="21"/>
    </row>
    <row r="67" spans="1:40" s="18" customFormat="1" ht="15.75" customHeight="1" x14ac:dyDescent="0.25">
      <c r="A67" s="79" t="s">
        <v>83</v>
      </c>
      <c r="B67" s="419" t="s">
        <v>82</v>
      </c>
      <c r="C67" s="42"/>
      <c r="D67" s="67"/>
      <c r="E67" s="42"/>
      <c r="F67" s="55">
        <v>44105</v>
      </c>
      <c r="G67" s="68">
        <v>44134</v>
      </c>
      <c r="H67" s="56" t="s">
        <v>37</v>
      </c>
      <c r="I67" s="264">
        <f>SUM(K67:AD67)</f>
        <v>0</v>
      </c>
      <c r="J67" s="264">
        <f t="shared" si="1"/>
        <v>0</v>
      </c>
      <c r="K67" s="50"/>
      <c r="L67" s="50"/>
      <c r="M67" s="50"/>
      <c r="N67" s="50"/>
      <c r="O67" s="50"/>
      <c r="P67" s="50"/>
      <c r="Q67" s="269"/>
      <c r="R67" s="269"/>
      <c r="S67" s="267"/>
      <c r="T67" s="267"/>
      <c r="U67" s="270">
        <v>0</v>
      </c>
      <c r="V67" s="270">
        <v>0</v>
      </c>
      <c r="W67" s="270">
        <v>0</v>
      </c>
      <c r="X67" s="270"/>
      <c r="Y67" s="270"/>
      <c r="Z67" s="270"/>
      <c r="AA67" s="270"/>
      <c r="AB67" s="270"/>
      <c r="AC67" s="270"/>
      <c r="AD67" s="69"/>
      <c r="AE67" s="235"/>
      <c r="AF67" s="64"/>
      <c r="AI67" s="21"/>
      <c r="AJ67" s="21"/>
    </row>
    <row r="68" spans="1:40" ht="15.75" customHeight="1" x14ac:dyDescent="0.25">
      <c r="A68" s="85"/>
      <c r="B68" s="61"/>
      <c r="C68" s="42"/>
      <c r="D68" s="42"/>
      <c r="E68" s="38">
        <f>DATEDIF(F67,G67,"d")</f>
        <v>29</v>
      </c>
      <c r="F68" s="62"/>
      <c r="G68" s="62"/>
      <c r="H68" s="56" t="s">
        <v>36</v>
      </c>
      <c r="I68" s="295">
        <f>168253.7/1000+1203601.96/1000</f>
        <v>1371.8556599999999</v>
      </c>
      <c r="J68" s="153">
        <f t="shared" si="1"/>
        <v>0</v>
      </c>
      <c r="K68" s="149"/>
      <c r="L68" s="149"/>
      <c r="M68" s="147"/>
      <c r="N68" s="147"/>
      <c r="O68" s="147"/>
      <c r="P68" s="147"/>
      <c r="Q68" s="151"/>
      <c r="R68" s="151"/>
      <c r="S68" s="150"/>
      <c r="T68" s="150"/>
      <c r="U68" s="150">
        <f>$I68*U67</f>
        <v>0</v>
      </c>
      <c r="V68" s="150">
        <f t="shared" ref="V68" si="44">$I68*V67</f>
        <v>0</v>
      </c>
      <c r="W68" s="150">
        <f>$I68*W67</f>
        <v>0</v>
      </c>
      <c r="X68" s="150">
        <f t="shared" ref="X68:AA68" si="45">$I68*X67</f>
        <v>0</v>
      </c>
      <c r="Y68" s="150">
        <f t="shared" si="45"/>
        <v>0</v>
      </c>
      <c r="Z68" s="150">
        <f t="shared" si="45"/>
        <v>0</v>
      </c>
      <c r="AA68" s="150">
        <f t="shared" si="45"/>
        <v>0</v>
      </c>
      <c r="AB68" s="150"/>
      <c r="AC68" s="150"/>
      <c r="AD68" s="53"/>
      <c r="AF68" s="64">
        <v>4649.6780199999994</v>
      </c>
      <c r="AI68" s="21">
        <v>11922.421979999999</v>
      </c>
      <c r="AJ68" s="21">
        <f>I68</f>
        <v>1371.8556599999999</v>
      </c>
      <c r="AK68" s="21"/>
    </row>
    <row r="69" spans="1:40" s="18" customFormat="1" ht="15.75" customHeight="1" x14ac:dyDescent="0.25">
      <c r="A69" s="79" t="s">
        <v>106</v>
      </c>
      <c r="B69" s="538" t="s">
        <v>109</v>
      </c>
      <c r="C69" s="42"/>
      <c r="D69" s="67"/>
      <c r="E69" s="42"/>
      <c r="F69" s="55">
        <v>44105</v>
      </c>
      <c r="G69" s="68">
        <v>44134</v>
      </c>
      <c r="H69" s="56" t="s">
        <v>37</v>
      </c>
      <c r="I69" s="264">
        <f>SUM(K69:AD69)</f>
        <v>0.2482407244826243</v>
      </c>
      <c r="J69" s="264">
        <f t="shared" si="1"/>
        <v>0.2482407244826243</v>
      </c>
      <c r="K69" s="50"/>
      <c r="L69" s="50"/>
      <c r="M69" s="50"/>
      <c r="N69" s="50"/>
      <c r="O69" s="265">
        <v>0</v>
      </c>
      <c r="P69" s="272">
        <f>35%*0</f>
        <v>0</v>
      </c>
      <c r="Q69" s="272">
        <v>0</v>
      </c>
      <c r="R69" s="272">
        <v>0</v>
      </c>
      <c r="S69" s="272">
        <v>0</v>
      </c>
      <c r="T69" s="266">
        <f>T70/I70</f>
        <v>0.23146464589857094</v>
      </c>
      <c r="U69" s="266">
        <v>0</v>
      </c>
      <c r="V69" s="266">
        <v>0</v>
      </c>
      <c r="W69" s="266">
        <f>W70/I70</f>
        <v>1.6776078584053368E-2</v>
      </c>
      <c r="X69" s="266"/>
      <c r="Y69" s="266"/>
      <c r="Z69" s="266"/>
      <c r="AA69" s="266"/>
      <c r="AB69" s="266"/>
      <c r="AC69" s="266"/>
      <c r="AD69" s="69"/>
      <c r="AF69" s="64"/>
      <c r="AI69" s="21"/>
      <c r="AJ69" s="21"/>
    </row>
    <row r="70" spans="1:40" ht="24.75" customHeight="1" x14ac:dyDescent="0.25">
      <c r="A70" s="85"/>
      <c r="B70" s="539"/>
      <c r="C70" s="42"/>
      <c r="D70" s="42"/>
      <c r="E70" s="38">
        <f>DATEDIF(F69,G69,"d")</f>
        <v>29</v>
      </c>
      <c r="F70" s="62"/>
      <c r="G70" s="62"/>
      <c r="H70" s="56" t="s">
        <v>36</v>
      </c>
      <c r="I70" s="295">
        <f>5044010.42/1000+421201.83/1000+4472292.57/1000+994.09/1000+73444.78/1000+2620664.04/1000</f>
        <v>12632.60773</v>
      </c>
      <c r="J70" s="153">
        <f t="shared" si="1"/>
        <v>3135.9276949999999</v>
      </c>
      <c r="K70" s="149"/>
      <c r="L70" s="149"/>
      <c r="M70" s="147"/>
      <c r="N70" s="147"/>
      <c r="O70" s="219">
        <f>I70*O69</f>
        <v>0</v>
      </c>
      <c r="P70" s="219">
        <f>I70*P69</f>
        <v>0</v>
      </c>
      <c r="Q70" s="354">
        <f>I70*Q69</f>
        <v>0</v>
      </c>
      <c r="R70" s="354">
        <f>$I70*R69</f>
        <v>0</v>
      </c>
      <c r="S70" s="354">
        <f t="shared" ref="S70" si="46">$I70*S69</f>
        <v>0</v>
      </c>
      <c r="T70" s="354">
        <f>89.36662/1.2+3419.43587/1.2</f>
        <v>2924.0020749999999</v>
      </c>
      <c r="U70" s="354">
        <f>$I70*U69</f>
        <v>0</v>
      </c>
      <c r="V70" s="354">
        <f t="shared" ref="V70" si="47">$I70*V69</f>
        <v>0</v>
      </c>
      <c r="W70" s="239">
        <v>211.92562000000001</v>
      </c>
      <c r="X70" s="150">
        <f t="shared" ref="X70:AA70" si="48">$I70*X69</f>
        <v>0</v>
      </c>
      <c r="Y70" s="150">
        <f t="shared" si="48"/>
        <v>0</v>
      </c>
      <c r="Z70" s="150">
        <f t="shared" si="48"/>
        <v>0</v>
      </c>
      <c r="AA70" s="150">
        <f t="shared" si="48"/>
        <v>0</v>
      </c>
      <c r="AB70" s="151"/>
      <c r="AC70" s="151"/>
      <c r="AD70" s="53"/>
      <c r="AF70" s="64">
        <v>4649.6780199999994</v>
      </c>
      <c r="AI70" s="21">
        <v>11922.421979999999</v>
      </c>
      <c r="AJ70" s="21">
        <f>I70</f>
        <v>12632.60773</v>
      </c>
      <c r="AK70" s="21"/>
    </row>
    <row r="71" spans="1:40" s="18" customFormat="1" ht="21" customHeight="1" x14ac:dyDescent="0.25">
      <c r="A71" s="79" t="s">
        <v>111</v>
      </c>
      <c r="B71" s="419" t="s">
        <v>110</v>
      </c>
      <c r="C71" s="42"/>
      <c r="D71" s="67"/>
      <c r="E71" s="42"/>
      <c r="F71" s="55">
        <v>44105</v>
      </c>
      <c r="G71" s="68">
        <v>44134</v>
      </c>
      <c r="H71" s="56" t="s">
        <v>37</v>
      </c>
      <c r="I71" s="264">
        <f>SUM(K71:AD71)</f>
        <v>0.46200000000000002</v>
      </c>
      <c r="J71" s="264">
        <f t="shared" si="1"/>
        <v>0.46200000000000002</v>
      </c>
      <c r="K71" s="50"/>
      <c r="L71" s="50"/>
      <c r="M71" s="50"/>
      <c r="N71" s="50"/>
      <c r="O71" s="265">
        <v>0</v>
      </c>
      <c r="P71" s="265">
        <f>20%*0</f>
        <v>0</v>
      </c>
      <c r="Q71" s="265">
        <v>0</v>
      </c>
      <c r="R71" s="265">
        <v>0</v>
      </c>
      <c r="S71" s="272">
        <v>0</v>
      </c>
      <c r="T71" s="266">
        <v>0.22</v>
      </c>
      <c r="U71" s="266">
        <v>0.11</v>
      </c>
      <c r="V71" s="266">
        <v>0</v>
      </c>
      <c r="W71" s="266">
        <v>0.13200000000000001</v>
      </c>
      <c r="X71" s="266"/>
      <c r="Y71" s="266"/>
      <c r="Z71" s="266"/>
      <c r="AA71" s="266"/>
      <c r="AB71" s="266"/>
      <c r="AC71" s="266"/>
      <c r="AD71" s="53"/>
      <c r="AF71" s="64"/>
      <c r="AI71" s="21"/>
      <c r="AJ71" s="21"/>
    </row>
    <row r="72" spans="1:40" ht="15.75" customHeight="1" x14ac:dyDescent="0.25">
      <c r="A72" s="85"/>
      <c r="B72" s="61"/>
      <c r="C72" s="42"/>
      <c r="D72" s="42"/>
      <c r="E72" s="38">
        <f>DATEDIF(F71,G71,"d")</f>
        <v>29</v>
      </c>
      <c r="F72" s="62"/>
      <c r="G72" s="62"/>
      <c r="H72" s="56" t="s">
        <v>36</v>
      </c>
      <c r="I72" s="153">
        <f>5679.18*1.051*1.05*0.5*I23*0</f>
        <v>0</v>
      </c>
      <c r="J72" s="153">
        <f t="shared" si="1"/>
        <v>0</v>
      </c>
      <c r="K72" s="149"/>
      <c r="L72" s="149"/>
      <c r="M72" s="147"/>
      <c r="N72" s="147"/>
      <c r="O72" s="147">
        <f>I72*O71</f>
        <v>0</v>
      </c>
      <c r="P72" s="147">
        <f>I72*P71</f>
        <v>0</v>
      </c>
      <c r="Q72" s="151">
        <f>I72*Q71</f>
        <v>0</v>
      </c>
      <c r="R72" s="151">
        <f>$I72*R71</f>
        <v>0</v>
      </c>
      <c r="S72" s="151">
        <f t="shared" ref="S72:V72" si="49">$I72*S71</f>
        <v>0</v>
      </c>
      <c r="T72" s="151">
        <f t="shared" si="49"/>
        <v>0</v>
      </c>
      <c r="U72" s="151">
        <f t="shared" si="49"/>
        <v>0</v>
      </c>
      <c r="V72" s="151">
        <f t="shared" si="49"/>
        <v>0</v>
      </c>
      <c r="W72" s="150">
        <f>$I72*W71</f>
        <v>0</v>
      </c>
      <c r="X72" s="150">
        <f t="shared" ref="X72:AA72" si="50">$I72*X71</f>
        <v>0</v>
      </c>
      <c r="Y72" s="150">
        <f t="shared" si="50"/>
        <v>0</v>
      </c>
      <c r="Z72" s="150">
        <f t="shared" si="50"/>
        <v>0</v>
      </c>
      <c r="AA72" s="150">
        <f t="shared" si="50"/>
        <v>0</v>
      </c>
      <c r="AB72" s="151"/>
      <c r="AC72" s="151"/>
      <c r="AD72" s="53"/>
      <c r="AF72" s="64">
        <v>4649.6780199999994</v>
      </c>
      <c r="AI72" s="21">
        <v>11922.421979999999</v>
      </c>
      <c r="AJ72" s="21">
        <f>I72</f>
        <v>0</v>
      </c>
      <c r="AK72" s="21"/>
    </row>
    <row r="73" spans="1:40" s="18" customFormat="1" ht="28.5" customHeight="1" x14ac:dyDescent="0.25">
      <c r="A73" s="102" t="s">
        <v>56</v>
      </c>
      <c r="B73" s="103" t="s">
        <v>57</v>
      </c>
      <c r="C73" s="104"/>
      <c r="D73" s="104"/>
      <c r="E73" s="105"/>
      <c r="F73" s="106"/>
      <c r="G73" s="107"/>
      <c r="H73" s="108"/>
      <c r="I73" s="86">
        <f>I26+I28+I30+I33+I35+I37+I39+I41+I43+I45+I47+I49+I52+I54+I57+I60+I62+I64+I66+I68+I70+I72</f>
        <v>123391.01120000001</v>
      </c>
      <c r="J73" s="86">
        <f t="shared" ref="J73:AC73" si="51">J26+J28+J30+J33+J35+J37+J39+J41+J43+J45+J47+J49+J52+J54+J57+J60+J62+J64+J66+J68+J70+J72</f>
        <v>24261.788865533334</v>
      </c>
      <c r="K73" s="86">
        <f t="shared" si="51"/>
        <v>0</v>
      </c>
      <c r="L73" s="86">
        <f t="shared" si="51"/>
        <v>0</v>
      </c>
      <c r="M73" s="86">
        <f t="shared" si="51"/>
        <v>0</v>
      </c>
      <c r="N73" s="86"/>
      <c r="O73" s="219">
        <f t="shared" si="51"/>
        <v>0</v>
      </c>
      <c r="P73" s="219">
        <f t="shared" si="51"/>
        <v>0</v>
      </c>
      <c r="Q73" s="238">
        <f t="shared" si="51"/>
        <v>2726.9268400000001</v>
      </c>
      <c r="R73" s="238">
        <f t="shared" si="51"/>
        <v>3603.5332401999999</v>
      </c>
      <c r="S73" s="219">
        <f t="shared" si="51"/>
        <v>0</v>
      </c>
      <c r="T73" s="355">
        <f t="shared" si="51"/>
        <v>8681.3553433333345</v>
      </c>
      <c r="U73" s="219">
        <f t="shared" si="51"/>
        <v>3202.8314300000002</v>
      </c>
      <c r="V73" s="219">
        <f t="shared" si="51"/>
        <v>1850.903863</v>
      </c>
      <c r="W73" s="219">
        <f t="shared" si="51"/>
        <v>3325.9440789999999</v>
      </c>
      <c r="X73" s="219">
        <f t="shared" si="51"/>
        <v>870.29407000000003</v>
      </c>
      <c r="Y73" s="219">
        <f t="shared" si="51"/>
        <v>0</v>
      </c>
      <c r="Z73" s="219">
        <f t="shared" si="51"/>
        <v>0</v>
      </c>
      <c r="AA73" s="219">
        <f t="shared" si="51"/>
        <v>0</v>
      </c>
      <c r="AB73" s="219">
        <f t="shared" si="51"/>
        <v>0</v>
      </c>
      <c r="AC73" s="219">
        <f t="shared" si="51"/>
        <v>0</v>
      </c>
      <c r="AD73" s="53"/>
      <c r="AE73" s="97"/>
      <c r="AF73" s="109">
        <f>SUM(AF26:AF68)</f>
        <v>-24403.931059999893</v>
      </c>
      <c r="AH73" s="97">
        <f>SUM(R73:V73)-R64-S64</f>
        <v>17338.623876533336</v>
      </c>
      <c r="AI73" s="21" t="e">
        <f>#REF!+#REF!+AI64+AI62+AI30+AI28+AI26</f>
        <v>#REF!</v>
      </c>
      <c r="AJ73" s="21" t="e">
        <f>#REF!+#REF!+AJ64+AJ62+AJ30+AJ28+AJ26</f>
        <v>#REF!</v>
      </c>
      <c r="AK73" s="21"/>
      <c r="AL73" s="235">
        <f>W73+X73+Y73+Z73+AA73</f>
        <v>4196.2381489999998</v>
      </c>
    </row>
    <row r="74" spans="1:40" s="18" customFormat="1" ht="37.5" x14ac:dyDescent="0.25">
      <c r="A74" s="87"/>
      <c r="B74" s="110" t="s">
        <v>134</v>
      </c>
      <c r="C74" s="111"/>
      <c r="D74" s="111"/>
      <c r="E74" s="112"/>
      <c r="F74" s="77"/>
      <c r="G74" s="56"/>
      <c r="H74" s="113"/>
      <c r="I74" s="114">
        <f>K74+L74+M74+O74+P74+Q74+R74+S74+T74+U74+V74+AD74</f>
        <v>0</v>
      </c>
      <c r="J74" s="153"/>
      <c r="K74" s="115"/>
      <c r="L74" s="50">
        <v>0</v>
      </c>
      <c r="M74" s="50"/>
      <c r="N74" s="50"/>
      <c r="O74" s="50">
        <v>0</v>
      </c>
      <c r="P74" s="50">
        <f>J73*0.3*0</f>
        <v>0</v>
      </c>
      <c r="Q74" s="50">
        <f>J73*0.3*0</f>
        <v>0</v>
      </c>
      <c r="R74" s="50"/>
      <c r="S74" s="51"/>
      <c r="T74" s="51"/>
      <c r="U74" s="357"/>
      <c r="V74" s="51"/>
      <c r="W74" s="51"/>
      <c r="X74" s="51"/>
      <c r="Y74" s="51"/>
      <c r="Z74" s="51"/>
      <c r="AA74" s="51"/>
      <c r="AB74" s="51"/>
      <c r="AC74" s="51"/>
      <c r="AD74" s="116"/>
      <c r="AF74" s="117"/>
      <c r="AH74" s="97"/>
      <c r="AI74" s="21"/>
    </row>
    <row r="75" spans="1:40" s="18" customFormat="1" ht="37.5" x14ac:dyDescent="0.25">
      <c r="A75" s="87" t="s">
        <v>58</v>
      </c>
      <c r="B75" s="110" t="s">
        <v>136</v>
      </c>
      <c r="C75" s="111"/>
      <c r="D75" s="111"/>
      <c r="E75" s="112"/>
      <c r="F75" s="77"/>
      <c r="G75" s="56"/>
      <c r="H75" s="113"/>
      <c r="I75" s="114">
        <f>K75+L75+M75+O75+P75+Q75+R75+S75+T75+U75+V75+W75+X75+Y75+Z75+AA75+AB75+AC75</f>
        <v>21835.609978979999</v>
      </c>
      <c r="J75" s="153"/>
      <c r="K75" s="115"/>
      <c r="L75" s="50"/>
      <c r="M75" s="50">
        <f>L73*0.7</f>
        <v>0</v>
      </c>
      <c r="N75" s="50"/>
      <c r="O75" s="50">
        <f>M73*0.7</f>
        <v>0</v>
      </c>
      <c r="P75" s="50">
        <f t="shared" ref="P75" si="52">O73*0.7</f>
        <v>0</v>
      </c>
      <c r="Q75" s="50">
        <f t="shared" ref="Q75" si="53">P73*0.6</f>
        <v>0</v>
      </c>
      <c r="R75" s="50">
        <f>Q73*0.9</f>
        <v>2454.234156</v>
      </c>
      <c r="S75" s="50">
        <f>R73*0.9</f>
        <v>3243.17991618</v>
      </c>
      <c r="T75" s="50">
        <f>T70*0.9+2526.06576*0.9</f>
        <v>4905.0610514999998</v>
      </c>
      <c r="U75" s="50">
        <f>(T33+T35+101.46612+U73)*0.9</f>
        <v>5790.7070445000008</v>
      </c>
      <c r="V75" s="50">
        <f>V73*0.9</f>
        <v>1665.8134767000001</v>
      </c>
      <c r="W75" s="50"/>
      <c r="X75" s="50">
        <f>W73*0.9+X73*0.9</f>
        <v>3776.6143340999997</v>
      </c>
      <c r="Y75" s="50"/>
      <c r="Z75" s="50">
        <f t="shared" ref="Z75:AA75" si="54">Y73*0.9</f>
        <v>0</v>
      </c>
      <c r="AA75" s="50">
        <f t="shared" si="54"/>
        <v>0</v>
      </c>
      <c r="AB75" s="50">
        <f>AA73*0.9</f>
        <v>0</v>
      </c>
      <c r="AC75" s="50">
        <f>AB73*0.9</f>
        <v>0</v>
      </c>
      <c r="AD75" s="116"/>
      <c r="AF75" s="117"/>
      <c r="AH75" s="97" t="e">
        <f>AH73-#REF!-#REF!-#REF!-#REF!</f>
        <v>#REF!</v>
      </c>
      <c r="AI75" s="21"/>
    </row>
    <row r="76" spans="1:40" s="18" customFormat="1" ht="21.6" customHeight="1" x14ac:dyDescent="0.25">
      <c r="A76" s="92" t="s">
        <v>59</v>
      </c>
      <c r="B76" s="66" t="s">
        <v>131</v>
      </c>
      <c r="C76" s="111"/>
      <c r="D76" s="111"/>
      <c r="E76" s="112"/>
      <c r="F76" s="55"/>
      <c r="G76" s="68"/>
      <c r="H76" s="68"/>
      <c r="I76" s="100">
        <f t="shared" ref="I76" si="55">K76+L76+M76+O76+P76+Q76+R76+S76+T76+U76+V76</f>
        <v>0</v>
      </c>
      <c r="J76" s="158"/>
      <c r="K76" s="118">
        <f>K73*0.3</f>
        <v>0</v>
      </c>
      <c r="L76" s="118">
        <f t="shared" ref="L76" si="56">L73*0.3</f>
        <v>0</v>
      </c>
      <c r="M76" s="118">
        <f>M73*0.2</f>
        <v>0</v>
      </c>
      <c r="N76" s="118"/>
      <c r="O76" s="118">
        <f t="shared" ref="O76" si="57">O73*0.2</f>
        <v>0</v>
      </c>
      <c r="P76" s="118">
        <v>0</v>
      </c>
      <c r="Q76" s="118">
        <f>P73*0.3</f>
        <v>0</v>
      </c>
      <c r="R76" s="118">
        <f>(Q73-0.3)*0</f>
        <v>0</v>
      </c>
      <c r="S76" s="118">
        <f>R73*0.3*0</f>
        <v>0</v>
      </c>
      <c r="T76" s="118">
        <f>S73*0.3*0</f>
        <v>0</v>
      </c>
      <c r="U76" s="118">
        <f>T73*0.3*0</f>
        <v>0</v>
      </c>
      <c r="V76" s="118">
        <f>U73*0.3*0</f>
        <v>0</v>
      </c>
      <c r="W76" s="118"/>
      <c r="X76" s="118"/>
      <c r="Y76" s="118"/>
      <c r="Z76" s="118"/>
      <c r="AA76" s="118"/>
      <c r="AB76" s="118"/>
      <c r="AC76" s="118"/>
      <c r="AD76" s="101"/>
      <c r="AF76" s="117"/>
    </row>
    <row r="77" spans="1:40" s="18" customFormat="1" ht="44.65" customHeight="1" x14ac:dyDescent="0.25">
      <c r="A77" s="87" t="s">
        <v>48</v>
      </c>
      <c r="B77" s="110" t="s">
        <v>60</v>
      </c>
      <c r="C77" s="117"/>
      <c r="D77" s="117"/>
      <c r="E77" s="42"/>
      <c r="F77" s="77"/>
      <c r="G77" s="56"/>
      <c r="H77" s="56"/>
      <c r="I77" s="98">
        <f>K77+L77+M77+O77+P77+Q77+R77+S77+T77+U77+V77+W77+X77+Y77+Z77+AA77+AB77+AC77</f>
        <v>2426.1788865533335</v>
      </c>
      <c r="J77" s="98"/>
      <c r="K77" s="52">
        <f>K73*0.1</f>
        <v>0</v>
      </c>
      <c r="L77" s="52">
        <f t="shared" ref="L77:O77" si="58">L73*0.1</f>
        <v>0</v>
      </c>
      <c r="M77" s="52">
        <f t="shared" si="58"/>
        <v>0</v>
      </c>
      <c r="N77" s="52"/>
      <c r="O77" s="52">
        <f t="shared" si="58"/>
        <v>0</v>
      </c>
      <c r="P77" s="52">
        <v>0</v>
      </c>
      <c r="Q77" s="52">
        <f t="shared" ref="Q77:AA77" si="59">P73*0.1</f>
        <v>0</v>
      </c>
      <c r="R77" s="52">
        <f t="shared" si="59"/>
        <v>272.69268400000004</v>
      </c>
      <c r="S77" s="52">
        <f t="shared" si="59"/>
        <v>360.35332402</v>
      </c>
      <c r="T77" s="52">
        <f t="shared" si="59"/>
        <v>0</v>
      </c>
      <c r="U77" s="52">
        <f t="shared" si="59"/>
        <v>868.13553433333345</v>
      </c>
      <c r="V77" s="52">
        <f t="shared" si="59"/>
        <v>320.28314300000005</v>
      </c>
      <c r="W77" s="52">
        <f>V73*0.1</f>
        <v>185.09038630000001</v>
      </c>
      <c r="X77" s="52">
        <f t="shared" si="59"/>
        <v>332.59440790000002</v>
      </c>
      <c r="Y77" s="52">
        <f t="shared" si="59"/>
        <v>87.029407000000006</v>
      </c>
      <c r="Z77" s="52">
        <f t="shared" si="59"/>
        <v>0</v>
      </c>
      <c r="AA77" s="52">
        <f t="shared" si="59"/>
        <v>0</v>
      </c>
      <c r="AB77" s="52">
        <f>AA73*0.1</f>
        <v>0</v>
      </c>
      <c r="AC77" s="52">
        <f>AB73*0.1</f>
        <v>0</v>
      </c>
      <c r="AD77" s="99"/>
      <c r="AF77" s="117"/>
    </row>
    <row r="78" spans="1:40" s="18" customFormat="1" ht="26.65" customHeight="1" x14ac:dyDescent="0.25">
      <c r="A78" s="119" t="s">
        <v>61</v>
      </c>
      <c r="B78" s="120" t="s">
        <v>62</v>
      </c>
      <c r="C78" s="121"/>
      <c r="D78" s="121"/>
      <c r="E78" s="122"/>
      <c r="F78" s="123"/>
      <c r="G78" s="124"/>
      <c r="H78" s="124"/>
      <c r="I78" s="125">
        <f>K78+L78+M78+O78+P78+Q78+R78+S78+T78+U78+V78+W78+X78+Y78+Z78+AA78+AB78+AC78</f>
        <v>24261.788865533334</v>
      </c>
      <c r="J78" s="159"/>
      <c r="K78" s="126">
        <f>K74+K75+K76</f>
        <v>0</v>
      </c>
      <c r="L78" s="126">
        <f>L74</f>
        <v>0</v>
      </c>
      <c r="M78" s="126">
        <f>M75</f>
        <v>0</v>
      </c>
      <c r="N78" s="126"/>
      <c r="O78" s="126">
        <v>0</v>
      </c>
      <c r="P78" s="126">
        <f>P74</f>
        <v>0</v>
      </c>
      <c r="Q78" s="126">
        <f>Q74</f>
        <v>0</v>
      </c>
      <c r="R78" s="126">
        <f>R75</f>
        <v>2454.234156</v>
      </c>
      <c r="S78" s="126">
        <f>S75</f>
        <v>3243.17991618</v>
      </c>
      <c r="T78" s="126">
        <f t="shared" ref="T78:Z78" si="60">T75</f>
        <v>4905.0610514999998</v>
      </c>
      <c r="U78" s="126">
        <f t="shared" si="60"/>
        <v>5790.7070445000008</v>
      </c>
      <c r="V78" s="126">
        <f t="shared" si="60"/>
        <v>1665.8134767000001</v>
      </c>
      <c r="W78" s="126">
        <f t="shared" si="60"/>
        <v>0</v>
      </c>
      <c r="X78" s="126">
        <f>X75</f>
        <v>3776.6143340999997</v>
      </c>
      <c r="Y78" s="126">
        <f>Y75+I77</f>
        <v>2426.1788865533335</v>
      </c>
      <c r="Z78" s="126">
        <f t="shared" si="60"/>
        <v>0</v>
      </c>
      <c r="AA78" s="126">
        <f>AA75</f>
        <v>0</v>
      </c>
      <c r="AB78" s="126">
        <f>AB75</f>
        <v>0</v>
      </c>
      <c r="AC78" s="126">
        <v>0</v>
      </c>
      <c r="AD78" s="127"/>
      <c r="AE78" s="128"/>
      <c r="AF78" s="117"/>
      <c r="AL78" s="97">
        <f>R80+S80+T80+U80+V80</f>
        <v>21670.794773856003</v>
      </c>
      <c r="AM78" s="97">
        <f>W80+X80+Y80+Z80+AA80+AB80</f>
        <v>7443.3518647840001</v>
      </c>
      <c r="AN78" s="97">
        <f>AL78+AM78</f>
        <v>29114.146638640002</v>
      </c>
    </row>
    <row r="79" spans="1:40" ht="24.4" customHeight="1" x14ac:dyDescent="0.25">
      <c r="A79" s="87" t="s">
        <v>63</v>
      </c>
      <c r="B79" s="129" t="s">
        <v>135</v>
      </c>
      <c r="C79" s="40"/>
      <c r="D79" s="40"/>
      <c r="E79" s="42"/>
      <c r="F79" s="77"/>
      <c r="G79" s="56"/>
      <c r="H79" s="56"/>
      <c r="I79" s="130">
        <f>K79+L79+M79+O79+P79+Q79+R79+S79+T79+U79+V79+W79+X79+Y79+Z79+AA79+AB79+AC79</f>
        <v>4852.3577731066671</v>
      </c>
      <c r="J79" s="130"/>
      <c r="K79" s="52">
        <f>K78*20%</f>
        <v>0</v>
      </c>
      <c r="L79" s="52">
        <f>L78*20%</f>
        <v>0</v>
      </c>
      <c r="M79" s="52">
        <f t="shared" ref="M79:AC79" si="61">M78*20%</f>
        <v>0</v>
      </c>
      <c r="N79" s="52"/>
      <c r="O79" s="52">
        <f t="shared" si="61"/>
        <v>0</v>
      </c>
      <c r="P79" s="52">
        <f t="shared" si="61"/>
        <v>0</v>
      </c>
      <c r="Q79" s="52">
        <f t="shared" si="61"/>
        <v>0</v>
      </c>
      <c r="R79" s="52">
        <f t="shared" si="61"/>
        <v>490.8468312</v>
      </c>
      <c r="S79" s="52">
        <f t="shared" si="61"/>
        <v>648.63598323600002</v>
      </c>
      <c r="T79" s="52">
        <f t="shared" si="61"/>
        <v>981.01221029999999</v>
      </c>
      <c r="U79" s="52">
        <f t="shared" si="61"/>
        <v>1158.1414089000002</v>
      </c>
      <c r="V79" s="52">
        <f t="shared" si="61"/>
        <v>333.16269534000003</v>
      </c>
      <c r="W79" s="52">
        <f t="shared" si="61"/>
        <v>0</v>
      </c>
      <c r="X79" s="52">
        <f t="shared" si="61"/>
        <v>755.32286681999994</v>
      </c>
      <c r="Y79" s="52">
        <f t="shared" si="61"/>
        <v>485.23577731066672</v>
      </c>
      <c r="Z79" s="52">
        <f t="shared" si="61"/>
        <v>0</v>
      </c>
      <c r="AA79" s="52">
        <f t="shared" si="61"/>
        <v>0</v>
      </c>
      <c r="AB79" s="52">
        <f t="shared" si="61"/>
        <v>0</v>
      </c>
      <c r="AC79" s="52">
        <f t="shared" si="61"/>
        <v>0</v>
      </c>
      <c r="AD79" s="52"/>
      <c r="AE79" s="131"/>
      <c r="AF79" s="40"/>
    </row>
    <row r="80" spans="1:40" ht="31.5" customHeight="1" x14ac:dyDescent="0.25">
      <c r="A80" s="87" t="s">
        <v>64</v>
      </c>
      <c r="B80" s="129" t="s">
        <v>65</v>
      </c>
      <c r="C80" s="40"/>
      <c r="D80" s="40"/>
      <c r="E80" s="42"/>
      <c r="F80" s="77"/>
      <c r="G80" s="56"/>
      <c r="H80" s="56"/>
      <c r="I80" s="132">
        <f>K80+L80+M80+O80+P80+Q80+R80+S80+T80+U80+V80+W80+X80+Y80+Z80+AA80+AB80+AC80</f>
        <v>29114.146638640006</v>
      </c>
      <c r="J80" s="132"/>
      <c r="K80" s="52">
        <f>K78+K79</f>
        <v>0</v>
      </c>
      <c r="L80" s="52">
        <f>L78+L79</f>
        <v>0</v>
      </c>
      <c r="M80" s="52">
        <f t="shared" ref="M80" si="62">M78+M79</f>
        <v>0</v>
      </c>
      <c r="N80" s="52"/>
      <c r="O80" s="52">
        <f>O78+O79</f>
        <v>0</v>
      </c>
      <c r="P80" s="52">
        <f t="shared" ref="P80:AC80" si="63">P78+P79</f>
        <v>0</v>
      </c>
      <c r="Q80" s="52">
        <f t="shared" si="63"/>
        <v>0</v>
      </c>
      <c r="R80" s="52">
        <f>R78+R79</f>
        <v>2945.0809872</v>
      </c>
      <c r="S80" s="50">
        <f t="shared" si="63"/>
        <v>3891.8158994159999</v>
      </c>
      <c r="T80" s="50">
        <f t="shared" si="63"/>
        <v>5886.0732618000002</v>
      </c>
      <c r="U80" s="50">
        <f t="shared" si="63"/>
        <v>6948.8484534000008</v>
      </c>
      <c r="V80" s="50">
        <f t="shared" si="63"/>
        <v>1998.9761720400002</v>
      </c>
      <c r="W80" s="86">
        <f t="shared" si="63"/>
        <v>0</v>
      </c>
      <c r="X80" s="86">
        <f>X78+X79</f>
        <v>4531.9372009199997</v>
      </c>
      <c r="Y80" s="86">
        <f t="shared" si="63"/>
        <v>2911.4146638640004</v>
      </c>
      <c r="Z80" s="86">
        <f t="shared" si="63"/>
        <v>0</v>
      </c>
      <c r="AA80" s="86">
        <f t="shared" si="63"/>
        <v>0</v>
      </c>
      <c r="AB80" s="50">
        <f t="shared" si="63"/>
        <v>0</v>
      </c>
      <c r="AC80" s="50">
        <f t="shared" si="63"/>
        <v>0</v>
      </c>
      <c r="AD80" s="52"/>
      <c r="AE80" s="131"/>
      <c r="AF80" s="40"/>
    </row>
    <row r="81" spans="1:30" ht="20.25" customHeight="1" x14ac:dyDescent="0.3">
      <c r="B81" s="133"/>
      <c r="I81" s="3">
        <f>I78-I73</f>
        <v>-99129.222334466671</v>
      </c>
      <c r="L81" s="2">
        <f>-L80*1000</f>
        <v>0</v>
      </c>
      <c r="M81" s="2">
        <f t="shared" ref="M81:AC81" si="64">-M80*1000</f>
        <v>0</v>
      </c>
      <c r="O81" s="2">
        <f t="shared" si="64"/>
        <v>0</v>
      </c>
      <c r="P81" s="2">
        <f t="shared" si="64"/>
        <v>0</v>
      </c>
      <c r="Q81" s="2">
        <f t="shared" si="64"/>
        <v>0</v>
      </c>
      <c r="R81" s="2">
        <f t="shared" si="64"/>
        <v>-2945080.9871999999</v>
      </c>
      <c r="S81" s="2">
        <f t="shared" si="64"/>
        <v>-3891815.8994159997</v>
      </c>
      <c r="T81" s="2">
        <f t="shared" si="64"/>
        <v>-5886073.2618000004</v>
      </c>
      <c r="U81" s="2">
        <f t="shared" si="64"/>
        <v>-6948848.4534000009</v>
      </c>
      <c r="V81" s="2">
        <f t="shared" si="64"/>
        <v>-1998976.1720400001</v>
      </c>
      <c r="W81" s="2">
        <f t="shared" si="64"/>
        <v>0</v>
      </c>
      <c r="X81" s="2">
        <f t="shared" si="64"/>
        <v>-4531937.2009199997</v>
      </c>
      <c r="Y81" s="2">
        <f t="shared" si="64"/>
        <v>-2911414.6638640002</v>
      </c>
      <c r="Z81" s="2">
        <f t="shared" si="64"/>
        <v>0</v>
      </c>
      <c r="AA81" s="2">
        <f t="shared" si="64"/>
        <v>0</v>
      </c>
      <c r="AB81" s="2">
        <f t="shared" si="64"/>
        <v>0</v>
      </c>
      <c r="AC81" s="2">
        <f t="shared" si="64"/>
        <v>0</v>
      </c>
    </row>
    <row r="82" spans="1:30" x14ac:dyDescent="0.25">
      <c r="A82" s="2"/>
      <c r="B82" s="296"/>
      <c r="I82" s="200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</row>
    <row r="83" spans="1:30" x14ac:dyDescent="0.25">
      <c r="A83" s="2"/>
      <c r="B83" s="135"/>
      <c r="I83" s="205" t="s">
        <v>137</v>
      </c>
      <c r="J83" s="155" t="s">
        <v>138</v>
      </c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236"/>
      <c r="X83" s="236"/>
      <c r="Y83" s="236"/>
      <c r="Z83" s="236"/>
      <c r="AA83" s="236"/>
      <c r="AB83" s="236"/>
      <c r="AC83" s="236"/>
    </row>
    <row r="84" spans="1:30" ht="18.75" customHeight="1" x14ac:dyDescent="0.25">
      <c r="A84" s="2"/>
      <c r="B84" s="40" t="s">
        <v>54</v>
      </c>
      <c r="C84" s="40"/>
      <c r="D84" s="40"/>
      <c r="E84" s="40"/>
      <c r="F84" s="40"/>
      <c r="G84" s="40"/>
      <c r="H84" s="40"/>
      <c r="I84" s="172">
        <f>'[1]Сух Лог_ВЭ_август'!I111</f>
        <v>119546363.60934751</v>
      </c>
      <c r="J84" s="172">
        <f>(J26+J28+J30+J33+J37+J39+J41+J43+J45+J47+J49+J52+J57)*1000</f>
        <v>15038582.137533337</v>
      </c>
      <c r="K84" s="172">
        <f t="shared" ref="K84:AB84" si="65">(K26+K28+K30+K33+K37+K39+K41+K43+K45+K47+K49+K52+K57)*1000</f>
        <v>0</v>
      </c>
      <c r="L84" s="172">
        <f t="shared" si="65"/>
        <v>0</v>
      </c>
      <c r="M84" s="172">
        <f t="shared" si="65"/>
        <v>0</v>
      </c>
      <c r="N84" s="172"/>
      <c r="O84" s="172">
        <f t="shared" si="65"/>
        <v>0</v>
      </c>
      <c r="P84" s="172">
        <f t="shared" si="65"/>
        <v>0</v>
      </c>
      <c r="Q84" s="172">
        <f t="shared" si="65"/>
        <v>2726926.84</v>
      </c>
      <c r="R84" s="172">
        <f t="shared" si="65"/>
        <v>2047420.8901999998</v>
      </c>
      <c r="S84" s="172">
        <f t="shared" si="65"/>
        <v>0</v>
      </c>
      <c r="T84" s="172">
        <f t="shared" si="65"/>
        <v>4745016.9383333344</v>
      </c>
      <c r="U84" s="172">
        <f t="shared" si="65"/>
        <v>2286712.5900000003</v>
      </c>
      <c r="V84" s="172">
        <f t="shared" si="65"/>
        <v>1177501.69</v>
      </c>
      <c r="W84" s="172">
        <f t="shared" si="65"/>
        <v>2055003.189</v>
      </c>
      <c r="X84" s="172">
        <f t="shared" si="65"/>
        <v>0</v>
      </c>
      <c r="Y84" s="172">
        <f t="shared" si="65"/>
        <v>0</v>
      </c>
      <c r="Z84" s="172">
        <f t="shared" si="65"/>
        <v>0</v>
      </c>
      <c r="AA84" s="172">
        <f t="shared" si="65"/>
        <v>0</v>
      </c>
      <c r="AB84" s="172">
        <f t="shared" si="65"/>
        <v>0</v>
      </c>
      <c r="AC84" s="411"/>
    </row>
    <row r="85" spans="1:30" ht="15.75" customHeight="1" x14ac:dyDescent="0.25">
      <c r="A85" s="2"/>
      <c r="B85" s="40" t="s">
        <v>132</v>
      </c>
      <c r="C85" s="40"/>
      <c r="D85" s="40"/>
      <c r="E85" s="40"/>
      <c r="F85" s="40"/>
      <c r="G85" s="40"/>
      <c r="H85" s="40"/>
      <c r="I85" s="173">
        <f t="shared" ref="I85:AB85" si="66">(I66+I54+I35)*1000</f>
        <v>13785209.619999999</v>
      </c>
      <c r="J85" s="173">
        <f t="shared" si="66"/>
        <v>6087279.0329999998</v>
      </c>
      <c r="K85" s="173">
        <f t="shared" si="66"/>
        <v>0</v>
      </c>
      <c r="L85" s="173">
        <f t="shared" si="66"/>
        <v>0</v>
      </c>
      <c r="M85" s="173">
        <f t="shared" si="66"/>
        <v>0</v>
      </c>
      <c r="N85" s="173"/>
      <c r="O85" s="173">
        <f t="shared" si="66"/>
        <v>0</v>
      </c>
      <c r="P85" s="173">
        <f t="shared" si="66"/>
        <v>0</v>
      </c>
      <c r="Q85" s="173">
        <f t="shared" si="66"/>
        <v>0</v>
      </c>
      <c r="R85" s="173">
        <f t="shared" si="66"/>
        <v>1556112.35</v>
      </c>
      <c r="S85" s="173">
        <f t="shared" si="66"/>
        <v>0</v>
      </c>
      <c r="T85" s="173">
        <f t="shared" si="66"/>
        <v>1012336.33</v>
      </c>
      <c r="U85" s="173">
        <f t="shared" si="66"/>
        <v>916118.84</v>
      </c>
      <c r="V85" s="173">
        <f t="shared" si="66"/>
        <v>673402.17299999995</v>
      </c>
      <c r="W85" s="173">
        <f t="shared" si="66"/>
        <v>1059015.27</v>
      </c>
      <c r="X85" s="173">
        <f t="shared" si="66"/>
        <v>870294.07000000007</v>
      </c>
      <c r="Y85" s="173">
        <f t="shared" si="66"/>
        <v>0</v>
      </c>
      <c r="Z85" s="173">
        <f t="shared" si="66"/>
        <v>0</v>
      </c>
      <c r="AA85" s="173">
        <f t="shared" si="66"/>
        <v>0</v>
      </c>
      <c r="AB85" s="173">
        <f t="shared" si="66"/>
        <v>0</v>
      </c>
      <c r="AC85" s="412"/>
    </row>
    <row r="86" spans="1:30" x14ac:dyDescent="0.25">
      <c r="B86" s="40" t="s">
        <v>130</v>
      </c>
      <c r="C86" s="40"/>
      <c r="D86" s="40"/>
      <c r="E86" s="40"/>
      <c r="F86" s="40"/>
      <c r="G86" s="40"/>
      <c r="H86" s="40"/>
      <c r="I86" s="174">
        <v>15799746.060000001</v>
      </c>
      <c r="J86" s="174">
        <f t="shared" ref="J86:AB86" si="67">(J60+J62+J64+J68+J70)*1000</f>
        <v>3135927.6949999998</v>
      </c>
      <c r="K86" s="174">
        <f t="shared" si="67"/>
        <v>0</v>
      </c>
      <c r="L86" s="174">
        <f t="shared" si="67"/>
        <v>0</v>
      </c>
      <c r="M86" s="174">
        <f t="shared" si="67"/>
        <v>0</v>
      </c>
      <c r="N86" s="174"/>
      <c r="O86" s="174">
        <f t="shared" si="67"/>
        <v>0</v>
      </c>
      <c r="P86" s="174">
        <f t="shared" si="67"/>
        <v>0</v>
      </c>
      <c r="Q86" s="174">
        <f t="shared" si="67"/>
        <v>0</v>
      </c>
      <c r="R86" s="174">
        <f t="shared" si="67"/>
        <v>0</v>
      </c>
      <c r="S86" s="174">
        <f t="shared" si="67"/>
        <v>0</v>
      </c>
      <c r="T86" s="174">
        <f t="shared" si="67"/>
        <v>2924002.0749999997</v>
      </c>
      <c r="U86" s="174">
        <f t="shared" si="67"/>
        <v>0</v>
      </c>
      <c r="V86" s="174">
        <f t="shared" si="67"/>
        <v>0</v>
      </c>
      <c r="W86" s="174">
        <f t="shared" si="67"/>
        <v>211925.62</v>
      </c>
      <c r="X86" s="174">
        <f t="shared" si="67"/>
        <v>0</v>
      </c>
      <c r="Y86" s="174">
        <f t="shared" si="67"/>
        <v>0</v>
      </c>
      <c r="Z86" s="174">
        <f t="shared" si="67"/>
        <v>0</v>
      </c>
      <c r="AA86" s="174">
        <f t="shared" si="67"/>
        <v>0</v>
      </c>
      <c r="AB86" s="174">
        <f t="shared" si="67"/>
        <v>0</v>
      </c>
      <c r="AC86" s="413"/>
    </row>
    <row r="87" spans="1:30" x14ac:dyDescent="0.25">
      <c r="B87" s="40" t="s">
        <v>128</v>
      </c>
      <c r="C87" s="40"/>
      <c r="D87" s="40"/>
      <c r="E87" s="40"/>
      <c r="F87" s="40"/>
      <c r="G87" s="40"/>
      <c r="H87" s="40"/>
      <c r="I87" s="175">
        <f>'[1]Сух Лог_ВЭ_август'!I115</f>
        <v>6267259.0889999997</v>
      </c>
      <c r="J87" s="175">
        <f>J72*1000</f>
        <v>0</v>
      </c>
      <c r="K87" s="175">
        <f t="shared" ref="K87:AB87" si="68">K72*1000</f>
        <v>0</v>
      </c>
      <c r="L87" s="175">
        <f t="shared" si="68"/>
        <v>0</v>
      </c>
      <c r="M87" s="175">
        <f t="shared" si="68"/>
        <v>0</v>
      </c>
      <c r="N87" s="175"/>
      <c r="O87" s="175">
        <f t="shared" si="68"/>
        <v>0</v>
      </c>
      <c r="P87" s="175">
        <f t="shared" si="68"/>
        <v>0</v>
      </c>
      <c r="Q87" s="175">
        <f t="shared" si="68"/>
        <v>0</v>
      </c>
      <c r="R87" s="175">
        <f t="shared" si="68"/>
        <v>0</v>
      </c>
      <c r="S87" s="175">
        <f t="shared" si="68"/>
        <v>0</v>
      </c>
      <c r="T87" s="175">
        <f t="shared" si="68"/>
        <v>0</v>
      </c>
      <c r="U87" s="175">
        <f t="shared" si="68"/>
        <v>0</v>
      </c>
      <c r="V87" s="175">
        <f t="shared" si="68"/>
        <v>0</v>
      </c>
      <c r="W87" s="175">
        <f t="shared" si="68"/>
        <v>0</v>
      </c>
      <c r="X87" s="175">
        <f t="shared" si="68"/>
        <v>0</v>
      </c>
      <c r="Y87" s="175">
        <f t="shared" si="68"/>
        <v>0</v>
      </c>
      <c r="Z87" s="175">
        <f t="shared" si="68"/>
        <v>0</v>
      </c>
      <c r="AA87" s="175">
        <f t="shared" si="68"/>
        <v>0</v>
      </c>
      <c r="AB87" s="175">
        <f t="shared" si="68"/>
        <v>0</v>
      </c>
      <c r="AC87" s="414"/>
    </row>
    <row r="88" spans="1:30" x14ac:dyDescent="0.25">
      <c r="W88" s="2" t="s">
        <v>169</v>
      </c>
      <c r="X88" s="2" t="s">
        <v>170</v>
      </c>
      <c r="Y88" s="2" t="s">
        <v>171</v>
      </c>
      <c r="Z88" s="2" t="s">
        <v>172</v>
      </c>
      <c r="AA88" s="2" t="s">
        <v>28</v>
      </c>
      <c r="AB88" s="2" t="s">
        <v>173</v>
      </c>
    </row>
    <row r="89" spans="1:30" x14ac:dyDescent="0.25">
      <c r="I89" s="3">
        <f>I84+I85+I86+I87</f>
        <v>155398578.37834749</v>
      </c>
      <c r="J89" s="3">
        <f>J84+J85+J86+J87</f>
        <v>24261788.865533337</v>
      </c>
      <c r="R89" s="200"/>
      <c r="S89" s="200"/>
      <c r="T89" s="200"/>
      <c r="U89" s="200"/>
      <c r="V89" s="200"/>
      <c r="W89" s="200">
        <f>W84+W85+W86</f>
        <v>3325944.0789999999</v>
      </c>
      <c r="X89" s="200">
        <f t="shared" ref="X89:AB89" si="69">X84+X85+X86</f>
        <v>870294.07000000007</v>
      </c>
      <c r="Y89" s="200">
        <f t="shared" si="69"/>
        <v>0</v>
      </c>
      <c r="Z89" s="200">
        <f t="shared" si="69"/>
        <v>0</v>
      </c>
      <c r="AA89" s="200">
        <f t="shared" si="69"/>
        <v>0</v>
      </c>
      <c r="AB89" s="200">
        <f t="shared" si="69"/>
        <v>0</v>
      </c>
      <c r="AC89" s="200"/>
    </row>
    <row r="90" spans="1:30" x14ac:dyDescent="0.25">
      <c r="R90" s="200"/>
      <c r="S90" s="200"/>
      <c r="T90" s="200"/>
      <c r="U90" s="200"/>
      <c r="V90" s="200"/>
      <c r="W90" s="200"/>
      <c r="X90" s="200"/>
      <c r="Y90" s="200"/>
      <c r="Z90" s="200"/>
    </row>
    <row r="91" spans="1:30" x14ac:dyDescent="0.25">
      <c r="R91" s="200"/>
      <c r="S91" s="200"/>
      <c r="T91" s="200"/>
      <c r="U91" s="200"/>
      <c r="V91" s="200"/>
      <c r="W91" s="200"/>
      <c r="X91" s="200"/>
      <c r="Y91" s="200"/>
      <c r="Z91" s="200"/>
      <c r="AB91" s="200"/>
    </row>
    <row r="92" spans="1:30" x14ac:dyDescent="0.25">
      <c r="R92" s="200"/>
      <c r="S92" s="200"/>
      <c r="T92" s="200"/>
      <c r="U92" s="353"/>
      <c r="V92" s="353"/>
      <c r="W92" s="353"/>
      <c r="X92" s="200"/>
      <c r="Y92" s="200"/>
      <c r="Z92" s="200"/>
    </row>
    <row r="93" spans="1:30" x14ac:dyDescent="0.25">
      <c r="B93" s="2" t="s">
        <v>153</v>
      </c>
      <c r="R93" s="200"/>
      <c r="S93" s="200"/>
      <c r="T93" s="200"/>
      <c r="U93" s="353"/>
      <c r="V93" s="200"/>
      <c r="W93" s="200"/>
      <c r="X93" s="273"/>
      <c r="Y93" s="200"/>
      <c r="Z93" s="200"/>
    </row>
    <row r="94" spans="1:30" x14ac:dyDescent="0.25">
      <c r="T94" s="200"/>
    </row>
    <row r="95" spans="1:30" ht="47.25" x14ac:dyDescent="0.25">
      <c r="A95" s="297" t="s">
        <v>154</v>
      </c>
      <c r="B95" s="298" t="s">
        <v>155</v>
      </c>
      <c r="I95" s="299" t="s">
        <v>156</v>
      </c>
      <c r="J95" s="300"/>
      <c r="K95" s="38">
        <v>2020</v>
      </c>
      <c r="L95" s="38">
        <v>2020</v>
      </c>
      <c r="M95" s="38">
        <v>2020</v>
      </c>
      <c r="N95" s="38">
        <v>2020</v>
      </c>
      <c r="O95" s="38">
        <v>2020</v>
      </c>
      <c r="P95" s="38">
        <v>2020</v>
      </c>
      <c r="Q95" s="38">
        <v>2020</v>
      </c>
      <c r="R95" s="38">
        <v>2020</v>
      </c>
      <c r="S95" s="38">
        <v>2020</v>
      </c>
      <c r="T95" s="38">
        <v>2020</v>
      </c>
      <c r="U95" s="38">
        <v>2020</v>
      </c>
      <c r="V95" s="38">
        <v>2020</v>
      </c>
      <c r="W95" s="234">
        <v>2021</v>
      </c>
      <c r="X95" s="234">
        <v>2021</v>
      </c>
      <c r="Y95" s="234">
        <v>2021</v>
      </c>
      <c r="Z95" s="234">
        <v>2021</v>
      </c>
      <c r="AA95" s="234">
        <v>2021</v>
      </c>
      <c r="AB95" s="234">
        <v>2021</v>
      </c>
      <c r="AC95" s="234"/>
      <c r="AD95" s="301">
        <v>2021</v>
      </c>
    </row>
    <row r="96" spans="1:30" x14ac:dyDescent="0.25">
      <c r="A96" s="302"/>
      <c r="B96" s="302"/>
      <c r="C96" s="303"/>
      <c r="D96" s="303"/>
      <c r="E96" s="303"/>
      <c r="F96" s="303"/>
      <c r="G96" s="303"/>
      <c r="H96" s="303"/>
      <c r="I96" s="304"/>
      <c r="J96" s="305"/>
      <c r="K96" s="306" t="s">
        <v>24</v>
      </c>
      <c r="L96" s="306" t="s">
        <v>25</v>
      </c>
      <c r="M96" s="306" t="s">
        <v>26</v>
      </c>
      <c r="N96" s="306" t="s">
        <v>27</v>
      </c>
      <c r="O96" s="306" t="s">
        <v>28</v>
      </c>
      <c r="P96" s="306" t="s">
        <v>29</v>
      </c>
      <c r="Q96" s="306" t="s">
        <v>30</v>
      </c>
      <c r="R96" s="306" t="s">
        <v>31</v>
      </c>
      <c r="S96" s="306" t="s">
        <v>32</v>
      </c>
      <c r="T96" s="306" t="s">
        <v>33</v>
      </c>
      <c r="U96" s="306" t="s">
        <v>34</v>
      </c>
      <c r="V96" s="306" t="s">
        <v>35</v>
      </c>
      <c r="W96" s="306" t="s">
        <v>24</v>
      </c>
      <c r="X96" s="306" t="s">
        <v>25</v>
      </c>
      <c r="Y96" s="306" t="s">
        <v>26</v>
      </c>
      <c r="Z96" s="306" t="s">
        <v>27</v>
      </c>
      <c r="AA96" s="306" t="s">
        <v>28</v>
      </c>
      <c r="AB96" s="306" t="s">
        <v>29</v>
      </c>
      <c r="AC96" s="306"/>
      <c r="AD96" s="307" t="s">
        <v>139</v>
      </c>
    </row>
    <row r="97" spans="1:38" s="76" customFormat="1" x14ac:dyDescent="0.25">
      <c r="A97" s="308" t="s">
        <v>91</v>
      </c>
      <c r="B97" s="309" t="s">
        <v>157</v>
      </c>
      <c r="C97" s="310"/>
      <c r="D97" s="310"/>
      <c r="E97" s="310"/>
      <c r="F97" s="310"/>
      <c r="G97" s="310"/>
      <c r="H97" s="310"/>
      <c r="I97" s="311">
        <f>SUM(K97:AB97)</f>
        <v>1</v>
      </c>
      <c r="J97" s="312">
        <f t="shared" ref="J97:J115" si="70">SUM(K97:AB97)</f>
        <v>1</v>
      </c>
      <c r="K97" s="313">
        <f>K34</f>
        <v>0</v>
      </c>
      <c r="L97" s="313">
        <f t="shared" ref="L97:S97" si="71">L34</f>
        <v>0</v>
      </c>
      <c r="M97" s="313">
        <f t="shared" si="71"/>
        <v>0</v>
      </c>
      <c r="N97" s="313">
        <f t="shared" si="71"/>
        <v>0</v>
      </c>
      <c r="O97" s="313">
        <f t="shared" si="71"/>
        <v>0</v>
      </c>
      <c r="P97" s="313">
        <f t="shared" si="71"/>
        <v>0</v>
      </c>
      <c r="Q97" s="313">
        <f t="shared" si="71"/>
        <v>0</v>
      </c>
      <c r="R97" s="313">
        <v>0</v>
      </c>
      <c r="S97" s="313">
        <f t="shared" si="71"/>
        <v>0</v>
      </c>
      <c r="T97" s="313">
        <v>0</v>
      </c>
      <c r="U97" s="313">
        <v>0</v>
      </c>
      <c r="V97" s="313">
        <v>0</v>
      </c>
      <c r="W97" s="313">
        <v>0</v>
      </c>
      <c r="X97" s="313">
        <v>0.65368774326105805</v>
      </c>
      <c r="Y97" s="313">
        <v>0.178260444144757</v>
      </c>
      <c r="Z97" s="313">
        <v>0.16805181259418497</v>
      </c>
      <c r="AA97" s="313">
        <v>0</v>
      </c>
      <c r="AB97" s="313">
        <v>0</v>
      </c>
      <c r="AC97" s="313"/>
      <c r="AD97" s="314"/>
    </row>
    <row r="98" spans="1:38" x14ac:dyDescent="0.25">
      <c r="A98" s="315"/>
      <c r="B98" s="316"/>
      <c r="C98" s="303"/>
      <c r="D98" s="303"/>
      <c r="E98" s="303"/>
      <c r="F98" s="303"/>
      <c r="G98" s="303"/>
      <c r="H98" s="303"/>
      <c r="I98" s="305">
        <f>46106278.26/1000</f>
        <v>46106.278259999999</v>
      </c>
      <c r="J98" s="317">
        <f t="shared" si="70"/>
        <v>46106.278260000006</v>
      </c>
      <c r="K98" s="318">
        <f>$I98*K97</f>
        <v>0</v>
      </c>
      <c r="L98" s="318">
        <f t="shared" ref="L98:S98" si="72">$I98*L97</f>
        <v>0</v>
      </c>
      <c r="M98" s="318">
        <f t="shared" si="72"/>
        <v>0</v>
      </c>
      <c r="N98" s="318">
        <f t="shared" si="72"/>
        <v>0</v>
      </c>
      <c r="O98" s="318">
        <f t="shared" si="72"/>
        <v>0</v>
      </c>
      <c r="P98" s="318">
        <f t="shared" si="72"/>
        <v>0</v>
      </c>
      <c r="Q98" s="318">
        <f t="shared" si="72"/>
        <v>0</v>
      </c>
      <c r="R98" s="318">
        <f t="shared" si="72"/>
        <v>0</v>
      </c>
      <c r="S98" s="318">
        <f t="shared" si="72"/>
        <v>0</v>
      </c>
      <c r="T98" s="318">
        <f>$I98*T97</f>
        <v>0</v>
      </c>
      <c r="U98" s="318">
        <f>$I98*U97</f>
        <v>0</v>
      </c>
      <c r="V98" s="318">
        <f t="shared" ref="V98:AB98" si="73">$I98*V97</f>
        <v>0</v>
      </c>
      <c r="W98" s="318">
        <f t="shared" si="73"/>
        <v>0</v>
      </c>
      <c r="X98" s="318">
        <f t="shared" si="73"/>
        <v>30139.108985945782</v>
      </c>
      <c r="Y98" s="318">
        <f t="shared" si="73"/>
        <v>8218.9256404893531</v>
      </c>
      <c r="Z98" s="318">
        <f t="shared" si="73"/>
        <v>7748.2436335648645</v>
      </c>
      <c r="AA98" s="318">
        <f t="shared" si="73"/>
        <v>0</v>
      </c>
      <c r="AB98" s="318">
        <f t="shared" si="73"/>
        <v>0</v>
      </c>
      <c r="AC98" s="318"/>
      <c r="AD98" s="307"/>
      <c r="AL98" s="200">
        <f>I98-U98-V98-W98-X98-Y98-Z98</f>
        <v>0</v>
      </c>
    </row>
    <row r="99" spans="1:38" x14ac:dyDescent="0.25">
      <c r="A99" s="315" t="s">
        <v>95</v>
      </c>
      <c r="B99" s="319" t="s">
        <v>158</v>
      </c>
      <c r="C99" s="303"/>
      <c r="D99" s="303"/>
      <c r="E99" s="303"/>
      <c r="F99" s="303"/>
      <c r="G99" s="303"/>
      <c r="H99" s="303"/>
      <c r="I99" s="320">
        <f>SUM(K99:AB99)</f>
        <v>0</v>
      </c>
      <c r="J99" s="321">
        <f t="shared" si="70"/>
        <v>0</v>
      </c>
      <c r="K99" s="322">
        <f>K53</f>
        <v>0</v>
      </c>
      <c r="L99" s="322">
        <f t="shared" ref="L99:AB99" si="74">L53</f>
        <v>0</v>
      </c>
      <c r="M99" s="322">
        <f t="shared" si="74"/>
        <v>0</v>
      </c>
      <c r="N99" s="322">
        <f t="shared" si="74"/>
        <v>0</v>
      </c>
      <c r="O99" s="322">
        <f t="shared" si="74"/>
        <v>0</v>
      </c>
      <c r="P99" s="322">
        <f t="shared" si="74"/>
        <v>0</v>
      </c>
      <c r="Q99" s="322">
        <f t="shared" si="74"/>
        <v>0</v>
      </c>
      <c r="R99" s="322">
        <f t="shared" si="74"/>
        <v>0</v>
      </c>
      <c r="S99" s="322">
        <f t="shared" si="74"/>
        <v>0</v>
      </c>
      <c r="T99" s="322">
        <f t="shared" si="74"/>
        <v>0</v>
      </c>
      <c r="U99" s="322">
        <f t="shared" si="74"/>
        <v>0</v>
      </c>
      <c r="V99" s="322">
        <f t="shared" si="74"/>
        <v>0</v>
      </c>
      <c r="W99" s="322">
        <f t="shared" si="74"/>
        <v>0</v>
      </c>
      <c r="X99" s="322">
        <f t="shared" si="74"/>
        <v>0</v>
      </c>
      <c r="Y99" s="322">
        <f t="shared" si="74"/>
        <v>0</v>
      </c>
      <c r="Z99" s="322">
        <f t="shared" si="74"/>
        <v>0</v>
      </c>
      <c r="AA99" s="322">
        <f t="shared" si="74"/>
        <v>0</v>
      </c>
      <c r="AB99" s="322">
        <f t="shared" si="74"/>
        <v>0</v>
      </c>
      <c r="AC99" s="322"/>
      <c r="AD99" s="307"/>
    </row>
    <row r="100" spans="1:38" x14ac:dyDescent="0.25">
      <c r="A100" s="315"/>
      <c r="B100" s="319"/>
      <c r="C100" s="303"/>
      <c r="D100" s="303"/>
      <c r="E100" s="303"/>
      <c r="F100" s="303"/>
      <c r="G100" s="303"/>
      <c r="H100" s="303"/>
      <c r="I100" s="305">
        <f>7864945.03794361/1000</f>
        <v>7864.9450379436103</v>
      </c>
      <c r="J100" s="317">
        <f t="shared" si="70"/>
        <v>0</v>
      </c>
      <c r="K100" s="323">
        <f>$I100*K99</f>
        <v>0</v>
      </c>
      <c r="L100" s="323">
        <f t="shared" ref="L100:AB100" si="75">$I100*L99</f>
        <v>0</v>
      </c>
      <c r="M100" s="323">
        <f t="shared" si="75"/>
        <v>0</v>
      </c>
      <c r="N100" s="323">
        <f t="shared" si="75"/>
        <v>0</v>
      </c>
      <c r="O100" s="323">
        <f t="shared" si="75"/>
        <v>0</v>
      </c>
      <c r="P100" s="323">
        <f t="shared" si="75"/>
        <v>0</v>
      </c>
      <c r="Q100" s="323">
        <f t="shared" si="75"/>
        <v>0</v>
      </c>
      <c r="R100" s="323">
        <f t="shared" si="75"/>
        <v>0</v>
      </c>
      <c r="S100" s="323">
        <f t="shared" si="75"/>
        <v>0</v>
      </c>
      <c r="T100" s="323">
        <f t="shared" si="75"/>
        <v>0</v>
      </c>
      <c r="U100" s="323">
        <f t="shared" si="75"/>
        <v>0</v>
      </c>
      <c r="V100" s="323">
        <f t="shared" si="75"/>
        <v>0</v>
      </c>
      <c r="W100" s="323">
        <f t="shared" si="75"/>
        <v>0</v>
      </c>
      <c r="X100" s="323">
        <f t="shared" si="75"/>
        <v>0</v>
      </c>
      <c r="Y100" s="324">
        <f t="shared" si="75"/>
        <v>0</v>
      </c>
      <c r="Z100" s="324">
        <f t="shared" si="75"/>
        <v>0</v>
      </c>
      <c r="AA100" s="323">
        <f t="shared" si="75"/>
        <v>0</v>
      </c>
      <c r="AB100" s="323">
        <f t="shared" si="75"/>
        <v>0</v>
      </c>
      <c r="AC100" s="323"/>
      <c r="AD100" s="325"/>
    </row>
    <row r="101" spans="1:38" x14ac:dyDescent="0.25">
      <c r="A101" s="315" t="s">
        <v>100</v>
      </c>
      <c r="B101" s="319" t="s">
        <v>159</v>
      </c>
      <c r="C101" s="303"/>
      <c r="D101" s="303"/>
      <c r="E101" s="303"/>
      <c r="F101" s="303"/>
      <c r="G101" s="303"/>
      <c r="H101" s="303"/>
      <c r="I101" s="320">
        <f>SUM(K101:AB101)</f>
        <v>0</v>
      </c>
      <c r="J101" s="321">
        <f t="shared" si="70"/>
        <v>0</v>
      </c>
      <c r="K101" s="326">
        <f>K65</f>
        <v>0</v>
      </c>
      <c r="L101" s="326">
        <f t="shared" ref="L101:AB101" si="76">L65</f>
        <v>0</v>
      </c>
      <c r="M101" s="326">
        <f t="shared" si="76"/>
        <v>0</v>
      </c>
      <c r="N101" s="326">
        <f t="shared" si="76"/>
        <v>0</v>
      </c>
      <c r="O101" s="326">
        <f t="shared" si="76"/>
        <v>0</v>
      </c>
      <c r="P101" s="326">
        <f t="shared" si="76"/>
        <v>0</v>
      </c>
      <c r="Q101" s="326">
        <f t="shared" si="76"/>
        <v>0</v>
      </c>
      <c r="R101" s="326">
        <f t="shared" si="76"/>
        <v>0</v>
      </c>
      <c r="S101" s="326">
        <f t="shared" si="76"/>
        <v>0</v>
      </c>
      <c r="T101" s="326">
        <f t="shared" si="76"/>
        <v>0</v>
      </c>
      <c r="U101" s="326">
        <f t="shared" si="76"/>
        <v>0</v>
      </c>
      <c r="V101" s="326">
        <f t="shared" si="76"/>
        <v>0</v>
      </c>
      <c r="W101" s="326">
        <f t="shared" si="76"/>
        <v>0</v>
      </c>
      <c r="X101" s="326">
        <f t="shared" si="76"/>
        <v>0</v>
      </c>
      <c r="Y101" s="326">
        <f t="shared" si="76"/>
        <v>0</v>
      </c>
      <c r="Z101" s="326">
        <f t="shared" si="76"/>
        <v>0</v>
      </c>
      <c r="AA101" s="326">
        <f t="shared" si="76"/>
        <v>0</v>
      </c>
      <c r="AB101" s="326">
        <f t="shared" si="76"/>
        <v>0</v>
      </c>
      <c r="AC101" s="326"/>
      <c r="AD101" s="325"/>
    </row>
    <row r="102" spans="1:38" x14ac:dyDescent="0.25">
      <c r="A102" s="315"/>
      <c r="B102" s="319"/>
      <c r="C102" s="303"/>
      <c r="D102" s="303"/>
      <c r="E102" s="303"/>
      <c r="F102" s="303"/>
      <c r="G102" s="303"/>
      <c r="H102" s="303"/>
      <c r="I102" s="327">
        <f>345437.850417699/1000</f>
        <v>345.437850417699</v>
      </c>
      <c r="J102" s="317">
        <f t="shared" si="70"/>
        <v>0</v>
      </c>
      <c r="K102" s="328">
        <f>$I102*K101</f>
        <v>0</v>
      </c>
      <c r="L102" s="328">
        <f t="shared" ref="L102:AB102" si="77">$I102*L101</f>
        <v>0</v>
      </c>
      <c r="M102" s="328">
        <f t="shared" si="77"/>
        <v>0</v>
      </c>
      <c r="N102" s="328">
        <f t="shared" si="77"/>
        <v>0</v>
      </c>
      <c r="O102" s="328">
        <f t="shared" si="77"/>
        <v>0</v>
      </c>
      <c r="P102" s="328">
        <f t="shared" si="77"/>
        <v>0</v>
      </c>
      <c r="Q102" s="328">
        <f t="shared" si="77"/>
        <v>0</v>
      </c>
      <c r="R102" s="328">
        <f t="shared" si="77"/>
        <v>0</v>
      </c>
      <c r="S102" s="328">
        <f t="shared" si="77"/>
        <v>0</v>
      </c>
      <c r="T102" s="328">
        <f t="shared" si="77"/>
        <v>0</v>
      </c>
      <c r="U102" s="328">
        <f t="shared" si="77"/>
        <v>0</v>
      </c>
      <c r="V102" s="328">
        <f t="shared" si="77"/>
        <v>0</v>
      </c>
      <c r="W102" s="328">
        <f t="shared" si="77"/>
        <v>0</v>
      </c>
      <c r="X102" s="328">
        <f t="shared" si="77"/>
        <v>0</v>
      </c>
      <c r="Y102" s="328">
        <f t="shared" si="77"/>
        <v>0</v>
      </c>
      <c r="Z102" s="328">
        <f t="shared" si="77"/>
        <v>0</v>
      </c>
      <c r="AA102" s="328">
        <f t="shared" si="77"/>
        <v>0</v>
      </c>
      <c r="AB102" s="328">
        <f t="shared" si="77"/>
        <v>0</v>
      </c>
      <c r="AC102" s="328"/>
      <c r="AD102" s="325"/>
    </row>
    <row r="103" spans="1:38" ht="31.5" x14ac:dyDescent="0.25">
      <c r="A103" s="329" t="s">
        <v>100</v>
      </c>
      <c r="B103" s="330" t="s">
        <v>160</v>
      </c>
      <c r="C103" s="331"/>
      <c r="D103" s="331"/>
      <c r="E103" s="331"/>
      <c r="F103" s="331"/>
      <c r="G103" s="331"/>
      <c r="H103" s="331"/>
      <c r="I103" s="332">
        <f>SUM(K103:AB103)</f>
        <v>0</v>
      </c>
      <c r="J103" s="333">
        <f t="shared" si="70"/>
        <v>0</v>
      </c>
      <c r="K103" s="334">
        <f>K65</f>
        <v>0</v>
      </c>
      <c r="L103" s="334">
        <f t="shared" ref="L103:AB103" si="78">L65</f>
        <v>0</v>
      </c>
      <c r="M103" s="334">
        <f t="shared" si="78"/>
        <v>0</v>
      </c>
      <c r="N103" s="334">
        <f t="shared" si="78"/>
        <v>0</v>
      </c>
      <c r="O103" s="334">
        <f t="shared" si="78"/>
        <v>0</v>
      </c>
      <c r="P103" s="334">
        <f t="shared" si="78"/>
        <v>0</v>
      </c>
      <c r="Q103" s="334">
        <f t="shared" si="78"/>
        <v>0</v>
      </c>
      <c r="R103" s="334">
        <f t="shared" si="78"/>
        <v>0</v>
      </c>
      <c r="S103" s="334">
        <f t="shared" si="78"/>
        <v>0</v>
      </c>
      <c r="T103" s="334">
        <f t="shared" si="78"/>
        <v>0</v>
      </c>
      <c r="U103" s="334">
        <f t="shared" si="78"/>
        <v>0</v>
      </c>
      <c r="V103" s="334">
        <f t="shared" si="78"/>
        <v>0</v>
      </c>
      <c r="W103" s="334">
        <f t="shared" si="78"/>
        <v>0</v>
      </c>
      <c r="X103" s="334">
        <f t="shared" si="78"/>
        <v>0</v>
      </c>
      <c r="Y103" s="334">
        <f t="shared" si="78"/>
        <v>0</v>
      </c>
      <c r="Z103" s="334">
        <f t="shared" si="78"/>
        <v>0</v>
      </c>
      <c r="AA103" s="334">
        <f t="shared" si="78"/>
        <v>0</v>
      </c>
      <c r="AB103" s="334">
        <f t="shared" si="78"/>
        <v>0</v>
      </c>
      <c r="AC103" s="334"/>
      <c r="AD103" s="325"/>
    </row>
    <row r="104" spans="1:38" x14ac:dyDescent="0.25">
      <c r="A104" s="335"/>
      <c r="B104" s="336"/>
      <c r="C104" s="337"/>
      <c r="D104" s="337"/>
      <c r="E104" s="337"/>
      <c r="F104" s="337"/>
      <c r="G104" s="337"/>
      <c r="H104" s="337"/>
      <c r="I104" s="338">
        <v>0</v>
      </c>
      <c r="J104" s="339">
        <f t="shared" si="70"/>
        <v>0</v>
      </c>
      <c r="K104" s="328">
        <f>$I104*K103</f>
        <v>0</v>
      </c>
      <c r="L104" s="328">
        <f t="shared" ref="L104:AB104" si="79">$I104*L103</f>
        <v>0</v>
      </c>
      <c r="M104" s="328">
        <f t="shared" si="79"/>
        <v>0</v>
      </c>
      <c r="N104" s="328">
        <f t="shared" si="79"/>
        <v>0</v>
      </c>
      <c r="O104" s="328">
        <f t="shared" si="79"/>
        <v>0</v>
      </c>
      <c r="P104" s="328">
        <f t="shared" si="79"/>
        <v>0</v>
      </c>
      <c r="Q104" s="328">
        <f t="shared" si="79"/>
        <v>0</v>
      </c>
      <c r="R104" s="328">
        <f t="shared" si="79"/>
        <v>0</v>
      </c>
      <c r="S104" s="328">
        <f t="shared" si="79"/>
        <v>0</v>
      </c>
      <c r="T104" s="328">
        <f t="shared" si="79"/>
        <v>0</v>
      </c>
      <c r="U104" s="328">
        <f t="shared" si="79"/>
        <v>0</v>
      </c>
      <c r="V104" s="328">
        <f t="shared" si="79"/>
        <v>0</v>
      </c>
      <c r="W104" s="328">
        <f t="shared" si="79"/>
        <v>0</v>
      </c>
      <c r="X104" s="328">
        <f t="shared" si="79"/>
        <v>0</v>
      </c>
      <c r="Y104" s="328">
        <f t="shared" si="79"/>
        <v>0</v>
      </c>
      <c r="Z104" s="328">
        <f t="shared" si="79"/>
        <v>0</v>
      </c>
      <c r="AA104" s="328">
        <f t="shared" si="79"/>
        <v>0</v>
      </c>
      <c r="AB104" s="328">
        <f t="shared" si="79"/>
        <v>0</v>
      </c>
      <c r="AC104" s="328"/>
      <c r="AD104" s="325"/>
    </row>
    <row r="105" spans="1:38" x14ac:dyDescent="0.25">
      <c r="A105" s="315" t="s">
        <v>161</v>
      </c>
      <c r="B105" s="336" t="s">
        <v>162</v>
      </c>
      <c r="C105" s="303"/>
      <c r="D105" s="303"/>
      <c r="E105" s="303"/>
      <c r="F105" s="303"/>
      <c r="G105" s="303"/>
      <c r="H105" s="303"/>
      <c r="I105" s="320">
        <f>SUM(K105:AB105)</f>
        <v>1</v>
      </c>
      <c r="J105" s="321">
        <f t="shared" si="70"/>
        <v>1</v>
      </c>
      <c r="K105" s="326">
        <f t="shared" ref="K105:Q105" si="80">K34</f>
        <v>0</v>
      </c>
      <c r="L105" s="326">
        <f t="shared" si="80"/>
        <v>0</v>
      </c>
      <c r="M105" s="326">
        <f t="shared" si="80"/>
        <v>0</v>
      </c>
      <c r="N105" s="326">
        <f t="shared" si="80"/>
        <v>0</v>
      </c>
      <c r="O105" s="326">
        <f t="shared" si="80"/>
        <v>0</v>
      </c>
      <c r="P105" s="326">
        <f t="shared" si="80"/>
        <v>0</v>
      </c>
      <c r="Q105" s="326">
        <f t="shared" si="80"/>
        <v>0</v>
      </c>
      <c r="R105" s="326">
        <v>0</v>
      </c>
      <c r="S105" s="326">
        <f>S34</f>
        <v>0</v>
      </c>
      <c r="T105" s="326">
        <v>0</v>
      </c>
      <c r="U105" s="326">
        <v>0</v>
      </c>
      <c r="V105" s="326">
        <v>0</v>
      </c>
      <c r="W105" s="326">
        <v>0</v>
      </c>
      <c r="X105" s="326">
        <v>0.2</v>
      </c>
      <c r="Y105" s="326">
        <v>0.4</v>
      </c>
      <c r="Z105" s="326">
        <v>0.4</v>
      </c>
      <c r="AA105" s="326">
        <v>0</v>
      </c>
      <c r="AB105" s="326">
        <v>0</v>
      </c>
      <c r="AC105" s="326"/>
      <c r="AD105" s="325"/>
    </row>
    <row r="106" spans="1:38" x14ac:dyDescent="0.25">
      <c r="A106" s="315"/>
      <c r="B106" s="336"/>
      <c r="C106" s="303"/>
      <c r="D106" s="303"/>
      <c r="E106" s="303"/>
      <c r="F106" s="303"/>
      <c r="G106" s="303"/>
      <c r="H106" s="303"/>
      <c r="I106" s="305">
        <f>8819980/1000</f>
        <v>8819.98</v>
      </c>
      <c r="J106" s="317">
        <f t="shared" si="70"/>
        <v>8819.98</v>
      </c>
      <c r="K106" s="340">
        <f>$I106*K105</f>
        <v>0</v>
      </c>
      <c r="L106" s="340">
        <f t="shared" ref="L106:AB106" si="81">$I106*L105</f>
        <v>0</v>
      </c>
      <c r="M106" s="340">
        <f t="shared" si="81"/>
        <v>0</v>
      </c>
      <c r="N106" s="340">
        <f t="shared" si="81"/>
        <v>0</v>
      </c>
      <c r="O106" s="340">
        <f t="shared" si="81"/>
        <v>0</v>
      </c>
      <c r="P106" s="340">
        <f t="shared" si="81"/>
        <v>0</v>
      </c>
      <c r="Q106" s="340">
        <f t="shared" si="81"/>
        <v>0</v>
      </c>
      <c r="R106" s="340">
        <v>0</v>
      </c>
      <c r="S106" s="340">
        <f t="shared" si="81"/>
        <v>0</v>
      </c>
      <c r="T106" s="340">
        <f t="shared" si="81"/>
        <v>0</v>
      </c>
      <c r="U106" s="340">
        <f t="shared" si="81"/>
        <v>0</v>
      </c>
      <c r="V106" s="340">
        <f t="shared" si="81"/>
        <v>0</v>
      </c>
      <c r="W106" s="340">
        <f t="shared" si="81"/>
        <v>0</v>
      </c>
      <c r="X106" s="340">
        <f t="shared" si="81"/>
        <v>1763.9960000000001</v>
      </c>
      <c r="Y106" s="340">
        <f t="shared" si="81"/>
        <v>3527.9920000000002</v>
      </c>
      <c r="Z106" s="340">
        <f t="shared" si="81"/>
        <v>3527.9920000000002</v>
      </c>
      <c r="AA106" s="340">
        <f t="shared" si="81"/>
        <v>0</v>
      </c>
      <c r="AB106" s="340">
        <f t="shared" si="81"/>
        <v>0</v>
      </c>
      <c r="AC106" s="340"/>
      <c r="AD106" s="325"/>
      <c r="AL106" s="200">
        <f>I106-T106-U106-V106-W106-X106-Y106-Z106-AA106</f>
        <v>-9.0949470177292824E-13</v>
      </c>
    </row>
    <row r="107" spans="1:38" x14ac:dyDescent="0.25">
      <c r="A107" s="315" t="s">
        <v>56</v>
      </c>
      <c r="B107" s="336" t="s">
        <v>163</v>
      </c>
      <c r="C107" s="303"/>
      <c r="D107" s="303"/>
      <c r="E107" s="303"/>
      <c r="F107" s="303"/>
      <c r="G107" s="303"/>
      <c r="H107" s="303"/>
      <c r="I107" s="320">
        <f>SUM(K107:AB107)</f>
        <v>0</v>
      </c>
      <c r="J107" s="321">
        <f t="shared" si="70"/>
        <v>0</v>
      </c>
      <c r="K107" s="326">
        <f>K44</f>
        <v>0</v>
      </c>
      <c r="L107" s="326">
        <f t="shared" ref="L107:AB107" si="82">L44</f>
        <v>0</v>
      </c>
      <c r="M107" s="326">
        <f t="shared" si="82"/>
        <v>0</v>
      </c>
      <c r="N107" s="326">
        <f t="shared" si="82"/>
        <v>0</v>
      </c>
      <c r="O107" s="326">
        <f t="shared" si="82"/>
        <v>0</v>
      </c>
      <c r="P107" s="326">
        <f t="shared" si="82"/>
        <v>0</v>
      </c>
      <c r="Q107" s="326">
        <f t="shared" si="82"/>
        <v>0</v>
      </c>
      <c r="R107" s="326">
        <f t="shared" si="82"/>
        <v>0</v>
      </c>
      <c r="S107" s="326">
        <f t="shared" si="82"/>
        <v>0</v>
      </c>
      <c r="T107" s="326">
        <f t="shared" si="82"/>
        <v>0</v>
      </c>
      <c r="U107" s="326">
        <f t="shared" si="82"/>
        <v>0</v>
      </c>
      <c r="V107" s="326">
        <f t="shared" si="82"/>
        <v>0</v>
      </c>
      <c r="W107" s="326">
        <f t="shared" si="82"/>
        <v>0</v>
      </c>
      <c r="X107" s="326">
        <f t="shared" si="82"/>
        <v>0</v>
      </c>
      <c r="Y107" s="326">
        <f t="shared" si="82"/>
        <v>0</v>
      </c>
      <c r="Z107" s="326">
        <f t="shared" si="82"/>
        <v>0</v>
      </c>
      <c r="AA107" s="326">
        <f t="shared" si="82"/>
        <v>0</v>
      </c>
      <c r="AB107" s="326">
        <f t="shared" si="82"/>
        <v>0</v>
      </c>
      <c r="AC107" s="326"/>
      <c r="AD107" s="325"/>
      <c r="AL107" s="200">
        <f>T106+AL106</f>
        <v>-9.0949470177292824E-13</v>
      </c>
    </row>
    <row r="108" spans="1:38" x14ac:dyDescent="0.25">
      <c r="A108" s="315"/>
      <c r="B108" s="336"/>
      <c r="C108" s="303"/>
      <c r="D108" s="303"/>
      <c r="E108" s="303"/>
      <c r="F108" s="303"/>
      <c r="G108" s="303"/>
      <c r="H108" s="303"/>
      <c r="I108" s="305">
        <f>989948.4356/1000</f>
        <v>989.94843559999993</v>
      </c>
      <c r="J108" s="317">
        <f t="shared" si="70"/>
        <v>0</v>
      </c>
      <c r="K108" s="340">
        <f>$I108*K107</f>
        <v>0</v>
      </c>
      <c r="L108" s="340">
        <f t="shared" ref="L108:AB108" si="83">$I108*L107</f>
        <v>0</v>
      </c>
      <c r="M108" s="340">
        <f t="shared" si="83"/>
        <v>0</v>
      </c>
      <c r="N108" s="340">
        <f t="shared" si="83"/>
        <v>0</v>
      </c>
      <c r="O108" s="340">
        <f t="shared" si="83"/>
        <v>0</v>
      </c>
      <c r="P108" s="340">
        <f t="shared" si="83"/>
        <v>0</v>
      </c>
      <c r="Q108" s="340">
        <f t="shared" si="83"/>
        <v>0</v>
      </c>
      <c r="R108" s="340">
        <f t="shared" si="83"/>
        <v>0</v>
      </c>
      <c r="S108" s="340">
        <f t="shared" si="83"/>
        <v>0</v>
      </c>
      <c r="T108" s="340">
        <f t="shared" si="83"/>
        <v>0</v>
      </c>
      <c r="U108" s="340">
        <f t="shared" si="83"/>
        <v>0</v>
      </c>
      <c r="V108" s="340">
        <f t="shared" si="83"/>
        <v>0</v>
      </c>
      <c r="W108" s="340">
        <f t="shared" si="83"/>
        <v>0</v>
      </c>
      <c r="X108" s="340">
        <f t="shared" si="83"/>
        <v>0</v>
      </c>
      <c r="Y108" s="340">
        <f t="shared" si="83"/>
        <v>0</v>
      </c>
      <c r="Z108" s="340">
        <f t="shared" si="83"/>
        <v>0</v>
      </c>
      <c r="AA108" s="340">
        <f t="shared" si="83"/>
        <v>0</v>
      </c>
      <c r="AB108" s="340">
        <f t="shared" si="83"/>
        <v>0</v>
      </c>
      <c r="AC108" s="340"/>
      <c r="AD108" s="325"/>
    </row>
    <row r="109" spans="1:38" x14ac:dyDescent="0.25">
      <c r="A109" s="315" t="s">
        <v>59</v>
      </c>
      <c r="B109" s="336" t="s">
        <v>164</v>
      </c>
      <c r="C109" s="303"/>
      <c r="D109" s="303"/>
      <c r="E109" s="303"/>
      <c r="F109" s="303"/>
      <c r="G109" s="303"/>
      <c r="H109" s="303"/>
      <c r="I109" s="320">
        <f>SUM(K109:AB109)</f>
        <v>0</v>
      </c>
      <c r="J109" s="321">
        <f t="shared" si="70"/>
        <v>0</v>
      </c>
      <c r="K109" s="326">
        <f>K48</f>
        <v>0</v>
      </c>
      <c r="L109" s="326">
        <f t="shared" ref="L109:AB109" si="84">L48</f>
        <v>0</v>
      </c>
      <c r="M109" s="326">
        <f t="shared" si="84"/>
        <v>0</v>
      </c>
      <c r="N109" s="326">
        <f t="shared" si="84"/>
        <v>0</v>
      </c>
      <c r="O109" s="326">
        <f t="shared" si="84"/>
        <v>0</v>
      </c>
      <c r="P109" s="326">
        <f t="shared" si="84"/>
        <v>0</v>
      </c>
      <c r="Q109" s="326">
        <f t="shared" si="84"/>
        <v>0</v>
      </c>
      <c r="R109" s="326">
        <f t="shared" si="84"/>
        <v>0</v>
      </c>
      <c r="S109" s="326">
        <f t="shared" si="84"/>
        <v>0</v>
      </c>
      <c r="T109" s="326">
        <f t="shared" si="84"/>
        <v>0</v>
      </c>
      <c r="U109" s="326">
        <f t="shared" si="84"/>
        <v>0</v>
      </c>
      <c r="V109" s="326">
        <f t="shared" si="84"/>
        <v>0</v>
      </c>
      <c r="W109" s="326">
        <f t="shared" si="84"/>
        <v>0</v>
      </c>
      <c r="X109" s="326">
        <f t="shared" si="84"/>
        <v>0</v>
      </c>
      <c r="Y109" s="326">
        <f t="shared" si="84"/>
        <v>0</v>
      </c>
      <c r="Z109" s="326">
        <f t="shared" si="84"/>
        <v>0</v>
      </c>
      <c r="AA109" s="326">
        <f t="shared" si="84"/>
        <v>0</v>
      </c>
      <c r="AB109" s="326">
        <f t="shared" si="84"/>
        <v>0</v>
      </c>
      <c r="AC109" s="326"/>
      <c r="AD109" s="325"/>
    </row>
    <row r="110" spans="1:38" x14ac:dyDescent="0.25">
      <c r="A110" s="315"/>
      <c r="B110" s="336"/>
      <c r="C110" s="303"/>
      <c r="D110" s="303"/>
      <c r="E110" s="303"/>
      <c r="F110" s="303"/>
      <c r="G110" s="303"/>
      <c r="H110" s="303"/>
      <c r="I110" s="305">
        <f>4254841.15/1000</f>
        <v>4254.8411500000002</v>
      </c>
      <c r="J110" s="317">
        <f t="shared" si="70"/>
        <v>0</v>
      </c>
      <c r="K110" s="323">
        <f>$I110*K109</f>
        <v>0</v>
      </c>
      <c r="L110" s="323">
        <f t="shared" ref="L110:AB110" si="85">$I110*L109</f>
        <v>0</v>
      </c>
      <c r="M110" s="323">
        <f t="shared" si="85"/>
        <v>0</v>
      </c>
      <c r="N110" s="323">
        <f t="shared" si="85"/>
        <v>0</v>
      </c>
      <c r="O110" s="323">
        <f t="shared" si="85"/>
        <v>0</v>
      </c>
      <c r="P110" s="323">
        <f t="shared" si="85"/>
        <v>0</v>
      </c>
      <c r="Q110" s="323">
        <f t="shared" si="85"/>
        <v>0</v>
      </c>
      <c r="R110" s="323">
        <f t="shared" si="85"/>
        <v>0</v>
      </c>
      <c r="S110" s="323">
        <f t="shared" si="85"/>
        <v>0</v>
      </c>
      <c r="T110" s="323">
        <f t="shared" si="85"/>
        <v>0</v>
      </c>
      <c r="U110" s="323">
        <f t="shared" si="85"/>
        <v>0</v>
      </c>
      <c r="V110" s="323">
        <f t="shared" si="85"/>
        <v>0</v>
      </c>
      <c r="W110" s="323">
        <f t="shared" si="85"/>
        <v>0</v>
      </c>
      <c r="X110" s="323">
        <f t="shared" si="85"/>
        <v>0</v>
      </c>
      <c r="Y110" s="340">
        <f t="shared" si="85"/>
        <v>0</v>
      </c>
      <c r="Z110" s="340">
        <f t="shared" si="85"/>
        <v>0</v>
      </c>
      <c r="AA110" s="323">
        <f t="shared" si="85"/>
        <v>0</v>
      </c>
      <c r="AB110" s="323">
        <f t="shared" si="85"/>
        <v>0</v>
      </c>
      <c r="AC110" s="323"/>
      <c r="AD110" s="325"/>
    </row>
    <row r="111" spans="1:38" x14ac:dyDescent="0.25">
      <c r="A111" s="315" t="s">
        <v>58</v>
      </c>
      <c r="B111" s="336" t="s">
        <v>165</v>
      </c>
      <c r="C111" s="303"/>
      <c r="D111" s="303"/>
      <c r="E111" s="303"/>
      <c r="F111" s="303"/>
      <c r="G111" s="303"/>
      <c r="H111" s="303"/>
      <c r="I111" s="320">
        <f>SUM(K111:AB111)</f>
        <v>0</v>
      </c>
      <c r="J111" s="321">
        <f t="shared" si="70"/>
        <v>0</v>
      </c>
      <c r="K111" s="326">
        <f>K46</f>
        <v>0</v>
      </c>
      <c r="L111" s="326">
        <f t="shared" ref="L111:AB111" si="86">L46</f>
        <v>0</v>
      </c>
      <c r="M111" s="326">
        <f t="shared" si="86"/>
        <v>0</v>
      </c>
      <c r="N111" s="326">
        <f t="shared" si="86"/>
        <v>0</v>
      </c>
      <c r="O111" s="326">
        <f t="shared" si="86"/>
        <v>0</v>
      </c>
      <c r="P111" s="326">
        <f t="shared" si="86"/>
        <v>0</v>
      </c>
      <c r="Q111" s="326">
        <f t="shared" si="86"/>
        <v>0</v>
      </c>
      <c r="R111" s="326">
        <f t="shared" si="86"/>
        <v>0</v>
      </c>
      <c r="S111" s="326">
        <f t="shared" si="86"/>
        <v>0</v>
      </c>
      <c r="T111" s="326">
        <f t="shared" si="86"/>
        <v>0</v>
      </c>
      <c r="U111" s="326">
        <f t="shared" si="86"/>
        <v>0</v>
      </c>
      <c r="V111" s="326">
        <f t="shared" si="86"/>
        <v>0</v>
      </c>
      <c r="W111" s="326">
        <f t="shared" si="86"/>
        <v>0</v>
      </c>
      <c r="X111" s="326">
        <f t="shared" si="86"/>
        <v>0</v>
      </c>
      <c r="Y111" s="326">
        <f t="shared" si="86"/>
        <v>0</v>
      </c>
      <c r="Z111" s="326">
        <f t="shared" si="86"/>
        <v>0</v>
      </c>
      <c r="AA111" s="326">
        <f t="shared" si="86"/>
        <v>0</v>
      </c>
      <c r="AB111" s="326">
        <f t="shared" si="86"/>
        <v>0</v>
      </c>
      <c r="AC111" s="326"/>
      <c r="AD111" s="325"/>
    </row>
    <row r="112" spans="1:38" x14ac:dyDescent="0.25">
      <c r="A112" s="315"/>
      <c r="B112" s="336"/>
      <c r="C112" s="303"/>
      <c r="D112" s="303"/>
      <c r="E112" s="303"/>
      <c r="F112" s="303"/>
      <c r="G112" s="303"/>
      <c r="H112" s="303"/>
      <c r="I112" s="305">
        <f>134187.757/1000</f>
        <v>134.187757</v>
      </c>
      <c r="J112" s="317">
        <f t="shared" si="70"/>
        <v>0</v>
      </c>
      <c r="K112" s="340">
        <f>$I112*K111</f>
        <v>0</v>
      </c>
      <c r="L112" s="340">
        <f t="shared" ref="L112:AB112" si="87">$I112*L111</f>
        <v>0</v>
      </c>
      <c r="M112" s="340">
        <f t="shared" si="87"/>
        <v>0</v>
      </c>
      <c r="N112" s="340">
        <f t="shared" si="87"/>
        <v>0</v>
      </c>
      <c r="O112" s="340">
        <f t="shared" si="87"/>
        <v>0</v>
      </c>
      <c r="P112" s="340">
        <f t="shared" si="87"/>
        <v>0</v>
      </c>
      <c r="Q112" s="340">
        <f t="shared" si="87"/>
        <v>0</v>
      </c>
      <c r="R112" s="340">
        <f t="shared" si="87"/>
        <v>0</v>
      </c>
      <c r="S112" s="340">
        <f t="shared" si="87"/>
        <v>0</v>
      </c>
      <c r="T112" s="340">
        <f t="shared" si="87"/>
        <v>0</v>
      </c>
      <c r="U112" s="340">
        <f t="shared" si="87"/>
        <v>0</v>
      </c>
      <c r="V112" s="340">
        <f t="shared" si="87"/>
        <v>0</v>
      </c>
      <c r="W112" s="340">
        <f t="shared" si="87"/>
        <v>0</v>
      </c>
      <c r="X112" s="340">
        <f t="shared" si="87"/>
        <v>0</v>
      </c>
      <c r="Y112" s="340">
        <f t="shared" si="87"/>
        <v>0</v>
      </c>
      <c r="Z112" s="340">
        <f t="shared" si="87"/>
        <v>0</v>
      </c>
      <c r="AA112" s="340">
        <f t="shared" si="87"/>
        <v>0</v>
      </c>
      <c r="AB112" s="340">
        <f t="shared" si="87"/>
        <v>0</v>
      </c>
      <c r="AC112" s="340"/>
      <c r="AD112" s="325"/>
    </row>
    <row r="113" spans="1:30" x14ac:dyDescent="0.25">
      <c r="A113" s="315" t="s">
        <v>166</v>
      </c>
      <c r="B113" s="336" t="s">
        <v>167</v>
      </c>
      <c r="C113" s="303"/>
      <c r="D113" s="303"/>
      <c r="E113" s="303"/>
      <c r="F113" s="303"/>
      <c r="G113" s="303"/>
      <c r="H113" s="303"/>
      <c r="I113" s="320">
        <f>SUM(K113:AB113)</f>
        <v>0</v>
      </c>
      <c r="J113" s="321">
        <f t="shared" si="70"/>
        <v>0</v>
      </c>
      <c r="K113" s="326">
        <f>K38</f>
        <v>0</v>
      </c>
      <c r="L113" s="326">
        <f t="shared" ref="L113:AB113" si="88">L38</f>
        <v>0</v>
      </c>
      <c r="M113" s="326">
        <f t="shared" si="88"/>
        <v>0</v>
      </c>
      <c r="N113" s="326">
        <f t="shared" si="88"/>
        <v>0</v>
      </c>
      <c r="O113" s="326">
        <f t="shared" si="88"/>
        <v>0</v>
      </c>
      <c r="P113" s="326">
        <f t="shared" si="88"/>
        <v>0</v>
      </c>
      <c r="Q113" s="326">
        <f t="shared" si="88"/>
        <v>0</v>
      </c>
      <c r="R113" s="326">
        <f t="shared" si="88"/>
        <v>0</v>
      </c>
      <c r="S113" s="326">
        <f t="shared" si="88"/>
        <v>0</v>
      </c>
      <c r="T113" s="326">
        <f t="shared" si="88"/>
        <v>0</v>
      </c>
      <c r="U113" s="326">
        <f t="shared" si="88"/>
        <v>0</v>
      </c>
      <c r="V113" s="326">
        <f t="shared" si="88"/>
        <v>0</v>
      </c>
      <c r="W113" s="326">
        <f t="shared" si="88"/>
        <v>0</v>
      </c>
      <c r="X113" s="326">
        <f t="shared" si="88"/>
        <v>0</v>
      </c>
      <c r="Y113" s="326">
        <f t="shared" si="88"/>
        <v>0</v>
      </c>
      <c r="Z113" s="326">
        <f t="shared" si="88"/>
        <v>0</v>
      </c>
      <c r="AA113" s="326">
        <f t="shared" si="88"/>
        <v>0</v>
      </c>
      <c r="AB113" s="326">
        <f t="shared" si="88"/>
        <v>0</v>
      </c>
      <c r="AC113" s="326"/>
      <c r="AD113" s="325"/>
    </row>
    <row r="114" spans="1:30" x14ac:dyDescent="0.25">
      <c r="A114" s="341"/>
      <c r="B114" s="342"/>
      <c r="C114" s="303"/>
      <c r="D114" s="303"/>
      <c r="E114" s="303"/>
      <c r="F114" s="303"/>
      <c r="G114" s="303"/>
      <c r="H114" s="303"/>
      <c r="I114" s="343">
        <f>34484.81/1000</f>
        <v>34.484809999999996</v>
      </c>
      <c r="J114" s="344">
        <f t="shared" si="70"/>
        <v>0</v>
      </c>
      <c r="K114" s="345">
        <f>$I114*K113</f>
        <v>0</v>
      </c>
      <c r="L114" s="345">
        <f t="shared" ref="L114:AB114" si="89">$I114*L113</f>
        <v>0</v>
      </c>
      <c r="M114" s="345">
        <f t="shared" si="89"/>
        <v>0</v>
      </c>
      <c r="N114" s="345">
        <f t="shared" si="89"/>
        <v>0</v>
      </c>
      <c r="O114" s="345">
        <f t="shared" si="89"/>
        <v>0</v>
      </c>
      <c r="P114" s="345">
        <f t="shared" si="89"/>
        <v>0</v>
      </c>
      <c r="Q114" s="345">
        <f t="shared" si="89"/>
        <v>0</v>
      </c>
      <c r="R114" s="345">
        <f t="shared" si="89"/>
        <v>0</v>
      </c>
      <c r="S114" s="345">
        <f t="shared" si="89"/>
        <v>0</v>
      </c>
      <c r="T114" s="345">
        <f t="shared" si="89"/>
        <v>0</v>
      </c>
      <c r="U114" s="345">
        <f t="shared" si="89"/>
        <v>0</v>
      </c>
      <c r="V114" s="345">
        <f t="shared" si="89"/>
        <v>0</v>
      </c>
      <c r="W114" s="345">
        <f t="shared" si="89"/>
        <v>0</v>
      </c>
      <c r="X114" s="345">
        <f t="shared" si="89"/>
        <v>0</v>
      </c>
      <c r="Y114" s="346">
        <f t="shared" si="89"/>
        <v>0</v>
      </c>
      <c r="Z114" s="346">
        <f t="shared" si="89"/>
        <v>0</v>
      </c>
      <c r="AA114" s="345">
        <f t="shared" si="89"/>
        <v>0</v>
      </c>
      <c r="AB114" s="345">
        <f t="shared" si="89"/>
        <v>0</v>
      </c>
      <c r="AC114" s="345"/>
      <c r="AD114" s="347"/>
    </row>
    <row r="115" spans="1:30" ht="25.5" customHeight="1" x14ac:dyDescent="0.25">
      <c r="A115" s="348"/>
      <c r="B115" s="349" t="s">
        <v>168</v>
      </c>
      <c r="C115" s="325"/>
      <c r="D115" s="325"/>
      <c r="E115" s="325"/>
      <c r="F115" s="325"/>
      <c r="G115" s="325"/>
      <c r="H115" s="325"/>
      <c r="I115" s="350">
        <f>I98+I100+I102+I104+I106+I108+I110+I112+I114</f>
        <v>68550.103300961317</v>
      </c>
      <c r="J115" s="305">
        <f t="shared" si="70"/>
        <v>54926.258260000002</v>
      </c>
      <c r="K115" s="340">
        <f>K98+K100+K102+K104+K106+K108+K110+K112+K114</f>
        <v>0</v>
      </c>
      <c r="L115" s="340">
        <f t="shared" ref="L115:AB115" si="90">L98+L100+L102+L104+L106+L108+L110+L112+L114</f>
        <v>0</v>
      </c>
      <c r="M115" s="340">
        <f t="shared" si="90"/>
        <v>0</v>
      </c>
      <c r="N115" s="340">
        <f t="shared" si="90"/>
        <v>0</v>
      </c>
      <c r="O115" s="340">
        <f t="shared" si="90"/>
        <v>0</v>
      </c>
      <c r="P115" s="340">
        <f t="shared" si="90"/>
        <v>0</v>
      </c>
      <c r="Q115" s="340">
        <f t="shared" si="90"/>
        <v>0</v>
      </c>
      <c r="R115" s="340">
        <f t="shared" si="90"/>
        <v>0</v>
      </c>
      <c r="S115" s="340">
        <f t="shared" si="90"/>
        <v>0</v>
      </c>
      <c r="T115" s="340">
        <f t="shared" si="90"/>
        <v>0</v>
      </c>
      <c r="U115" s="340">
        <f t="shared" si="90"/>
        <v>0</v>
      </c>
      <c r="V115" s="340">
        <f t="shared" si="90"/>
        <v>0</v>
      </c>
      <c r="W115" s="340">
        <f t="shared" si="90"/>
        <v>0</v>
      </c>
      <c r="X115" s="340">
        <f t="shared" si="90"/>
        <v>31903.104985945782</v>
      </c>
      <c r="Y115" s="340">
        <f t="shared" si="90"/>
        <v>11746.917640489353</v>
      </c>
      <c r="Z115" s="340">
        <f t="shared" si="90"/>
        <v>11276.235633564866</v>
      </c>
      <c r="AA115" s="340">
        <f t="shared" si="90"/>
        <v>0</v>
      </c>
      <c r="AB115" s="340">
        <f t="shared" si="90"/>
        <v>0</v>
      </c>
      <c r="AC115" s="340"/>
      <c r="AD115" s="325"/>
    </row>
    <row r="118" spans="1:30" ht="21" customHeight="1" x14ac:dyDescent="0.25">
      <c r="B118" s="351" t="s">
        <v>174</v>
      </c>
      <c r="C118" s="351"/>
      <c r="D118" s="351"/>
      <c r="E118" s="351"/>
      <c r="F118" s="351"/>
      <c r="G118" s="351"/>
      <c r="H118" s="351"/>
      <c r="I118" s="352">
        <f>I115*1000</f>
        <v>68550103.300961316</v>
      </c>
      <c r="J118" s="352">
        <f t="shared" ref="J118:AB118" si="91">J115*1000</f>
        <v>54926258.260000005</v>
      </c>
      <c r="K118" s="352">
        <f t="shared" si="91"/>
        <v>0</v>
      </c>
      <c r="L118" s="352">
        <f t="shared" si="91"/>
        <v>0</v>
      </c>
      <c r="M118" s="352">
        <f t="shared" si="91"/>
        <v>0</v>
      </c>
      <c r="N118" s="352">
        <f t="shared" si="91"/>
        <v>0</v>
      </c>
      <c r="O118" s="352">
        <f t="shared" si="91"/>
        <v>0</v>
      </c>
      <c r="P118" s="352">
        <f t="shared" si="91"/>
        <v>0</v>
      </c>
      <c r="Q118" s="352">
        <f t="shared" si="91"/>
        <v>0</v>
      </c>
      <c r="R118" s="352">
        <f t="shared" si="91"/>
        <v>0</v>
      </c>
      <c r="S118" s="352">
        <f t="shared" si="91"/>
        <v>0</v>
      </c>
      <c r="T118" s="352">
        <f t="shared" si="91"/>
        <v>0</v>
      </c>
      <c r="U118" s="352">
        <f t="shared" si="91"/>
        <v>0</v>
      </c>
      <c r="V118" s="352">
        <f t="shared" si="91"/>
        <v>0</v>
      </c>
      <c r="W118" s="352">
        <f t="shared" si="91"/>
        <v>0</v>
      </c>
      <c r="X118" s="352">
        <f t="shared" si="91"/>
        <v>31903104.98594578</v>
      </c>
      <c r="Y118" s="352">
        <f t="shared" si="91"/>
        <v>11746917.640489353</v>
      </c>
      <c r="Z118" s="352">
        <f t="shared" si="91"/>
        <v>11276235.633564865</v>
      </c>
      <c r="AA118" s="352">
        <f t="shared" si="91"/>
        <v>0</v>
      </c>
      <c r="AB118" s="352">
        <f t="shared" si="91"/>
        <v>0</v>
      </c>
      <c r="AC118" s="352"/>
    </row>
    <row r="119" spans="1:30" x14ac:dyDescent="0.25"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</row>
    <row r="120" spans="1:30" x14ac:dyDescent="0.25">
      <c r="J120" s="3">
        <f>J118*1.2</f>
        <v>65911509.912</v>
      </c>
      <c r="V120" s="200">
        <f>T118+U118+V118</f>
        <v>0</v>
      </c>
      <c r="Y120" s="200"/>
      <c r="Z120" s="200"/>
      <c r="AA120" s="200"/>
      <c r="AB120" s="200">
        <f>W118+X118+Y118+Z118+AA118</f>
        <v>54926258.259999998</v>
      </c>
      <c r="AC120" s="200"/>
    </row>
    <row r="121" spans="1:30" x14ac:dyDescent="0.25"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200"/>
    </row>
    <row r="122" spans="1:30" x14ac:dyDescent="0.25">
      <c r="U122" s="200"/>
      <c r="V122" s="200"/>
      <c r="W122" s="200"/>
      <c r="X122" s="200"/>
      <c r="Y122" s="200"/>
      <c r="Z122" s="200"/>
      <c r="AA122" s="200"/>
      <c r="AB122" s="200"/>
      <c r="AC122" s="200"/>
    </row>
    <row r="124" spans="1:30" x14ac:dyDescent="0.25">
      <c r="Y124" s="200"/>
      <c r="Z124" s="200"/>
      <c r="AA124" s="200"/>
    </row>
    <row r="126" spans="1:30" x14ac:dyDescent="0.25">
      <c r="W126" s="200">
        <f>W89+W118</f>
        <v>3325944.0789999999</v>
      </c>
      <c r="X126" s="200">
        <f t="shared" ref="X126:AB126" si="92">X89+X118</f>
        <v>32773399.05594578</v>
      </c>
      <c r="Y126" s="200">
        <f t="shared" si="92"/>
        <v>11746917.640489353</v>
      </c>
      <c r="Z126" s="200">
        <f t="shared" si="92"/>
        <v>11276235.633564865</v>
      </c>
      <c r="AA126" s="200">
        <f t="shared" si="92"/>
        <v>0</v>
      </c>
      <c r="AB126" s="200">
        <f t="shared" si="92"/>
        <v>0</v>
      </c>
      <c r="AC126" s="200"/>
    </row>
    <row r="128" spans="1:30" x14ac:dyDescent="0.25">
      <c r="Y128" s="200"/>
    </row>
  </sheetData>
  <mergeCells count="11">
    <mergeCell ref="B34:B35"/>
    <mergeCell ref="A15:V15"/>
    <mergeCell ref="I20:V21"/>
    <mergeCell ref="AE20:AE21"/>
    <mergeCell ref="AF20:AF21"/>
    <mergeCell ref="B32:B33"/>
    <mergeCell ref="B51:B52"/>
    <mergeCell ref="B53:B54"/>
    <mergeCell ref="B63:B64"/>
    <mergeCell ref="B65:B66"/>
    <mergeCell ref="B69:B70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AM128"/>
  <sheetViews>
    <sheetView topLeftCell="A15" zoomScale="55" zoomScaleNormal="55" workbookViewId="0">
      <pane xSplit="9" ySplit="9" topLeftCell="J87" activePane="bottomRight" state="frozen"/>
      <selection activeCell="X73" sqref="X73"/>
      <selection pane="topRight" activeCell="X73" sqref="X73"/>
      <selection pane="bottomLeft" activeCell="X73" sqref="X73"/>
      <selection pane="bottomRight" activeCell="X73" sqref="X73"/>
    </sheetView>
  </sheetViews>
  <sheetFormatPr defaultColWidth="8.7109375" defaultRowHeight="15.75" outlineLevelRow="1" x14ac:dyDescent="0.25"/>
  <cols>
    <col min="1" max="1" width="7.28515625" style="1" customWidth="1"/>
    <col min="2" max="2" width="67.7109375" style="2" customWidth="1"/>
    <col min="3" max="4" width="7.7109375" style="2" hidden="1" customWidth="1"/>
    <col min="5" max="5" width="14.7109375" style="2" hidden="1" customWidth="1"/>
    <col min="6" max="6" width="0.140625" style="2" customWidth="1"/>
    <col min="7" max="7" width="0.28515625" style="2" customWidth="1"/>
    <col min="8" max="8" width="9.28515625" style="2" hidden="1" customWidth="1"/>
    <col min="9" max="9" width="22" style="3" customWidth="1"/>
    <col min="10" max="10" width="17.42578125" style="3" customWidth="1"/>
    <col min="11" max="11" width="12" style="2" customWidth="1"/>
    <col min="12" max="12" width="15.42578125" style="2" bestFit="1" customWidth="1"/>
    <col min="13" max="14" width="15.140625" style="2" customWidth="1"/>
    <col min="15" max="15" width="16.28515625" style="2" bestFit="1" customWidth="1"/>
    <col min="16" max="16" width="19.7109375" style="2" customWidth="1"/>
    <col min="17" max="18" width="20.140625" style="2" customWidth="1"/>
    <col min="19" max="19" width="20.85546875" style="2" customWidth="1"/>
    <col min="20" max="20" width="20.42578125" style="2" customWidth="1"/>
    <col min="21" max="21" width="19.42578125" style="2" customWidth="1"/>
    <col min="22" max="28" width="19.28515625" style="2" customWidth="1"/>
    <col min="29" max="29" width="22.7109375" style="2" customWidth="1"/>
    <col min="30" max="30" width="14" style="2" hidden="1" customWidth="1"/>
    <col min="31" max="31" width="16.28515625" style="2" hidden="1" customWidth="1"/>
    <col min="32" max="32" width="0" style="2" hidden="1" customWidth="1"/>
    <col min="33" max="33" width="11" style="2" hidden="1" customWidth="1"/>
    <col min="34" max="34" width="12" style="2" hidden="1" customWidth="1"/>
    <col min="35" max="35" width="9.42578125" style="2" hidden="1" customWidth="1"/>
    <col min="36" max="36" width="0" style="2" hidden="1" customWidth="1"/>
    <col min="37" max="37" width="21.140625" style="2" customWidth="1"/>
    <col min="38" max="38" width="16.28515625" style="2" customWidth="1"/>
    <col min="39" max="39" width="14.140625" style="2" customWidth="1"/>
    <col min="40" max="16384" width="8.7109375" style="2"/>
  </cols>
  <sheetData>
    <row r="1" spans="1:30" ht="15.75" hidden="1" customHeight="1" x14ac:dyDescent="0.25">
      <c r="K1" s="160" t="s">
        <v>124</v>
      </c>
    </row>
    <row r="2" spans="1:30" ht="20.25" hidden="1" customHeight="1" x14ac:dyDescent="0.3">
      <c r="B2" s="4" t="s">
        <v>0</v>
      </c>
      <c r="K2" s="160" t="s">
        <v>125</v>
      </c>
      <c r="AD2" s="5" t="s">
        <v>1</v>
      </c>
    </row>
    <row r="3" spans="1:30" ht="20.25" hidden="1" customHeight="1" x14ac:dyDescent="0.3">
      <c r="B3" s="6" t="s">
        <v>2</v>
      </c>
      <c r="K3" s="160" t="s">
        <v>39</v>
      </c>
      <c r="AD3" s="7" t="s">
        <v>3</v>
      </c>
    </row>
    <row r="4" spans="1:30" ht="20.25" hidden="1" customHeight="1" x14ac:dyDescent="0.3">
      <c r="B4" s="6" t="s">
        <v>4</v>
      </c>
      <c r="K4" s="160" t="s">
        <v>54</v>
      </c>
      <c r="AD4" s="7" t="s">
        <v>5</v>
      </c>
    </row>
    <row r="5" spans="1:30" ht="20.25" hidden="1" customHeight="1" x14ac:dyDescent="0.3">
      <c r="B5" s="6" t="s">
        <v>6</v>
      </c>
      <c r="K5" s="160" t="s">
        <v>55</v>
      </c>
      <c r="AD5" s="7" t="s">
        <v>6</v>
      </c>
    </row>
    <row r="6" spans="1:30" ht="20.25" hidden="1" customHeight="1" x14ac:dyDescent="0.3">
      <c r="A6" s="8"/>
      <c r="B6" s="6"/>
      <c r="F6" s="9"/>
    </row>
    <row r="7" spans="1:30" ht="20.25" hidden="1" customHeight="1" x14ac:dyDescent="0.3">
      <c r="A7" s="8"/>
      <c r="B7" s="6" t="s">
        <v>7</v>
      </c>
      <c r="F7" s="9"/>
    </row>
    <row r="8" spans="1:30" ht="20.25" hidden="1" customHeight="1" x14ac:dyDescent="0.3">
      <c r="A8" s="8"/>
      <c r="B8" s="6" t="s">
        <v>8</v>
      </c>
      <c r="F8" s="9"/>
    </row>
    <row r="9" spans="1:30" ht="20.25" hidden="1" customHeight="1" x14ac:dyDescent="0.3">
      <c r="A9" s="8"/>
      <c r="B9" s="6" t="s">
        <v>6</v>
      </c>
      <c r="F9" s="9"/>
    </row>
    <row r="10" spans="1:30" ht="20.25" hidden="1" customHeight="1" x14ac:dyDescent="0.3">
      <c r="A10" s="8"/>
      <c r="B10" s="6"/>
      <c r="F10" s="9"/>
    </row>
    <row r="11" spans="1:30" ht="20.25" hidden="1" customHeight="1" x14ac:dyDescent="0.3">
      <c r="A11" s="8"/>
      <c r="B11" s="6" t="s">
        <v>9</v>
      </c>
      <c r="F11" s="9"/>
    </row>
    <row r="12" spans="1:30" ht="20.25" hidden="1" customHeight="1" x14ac:dyDescent="0.3">
      <c r="A12" s="8"/>
      <c r="B12" s="6" t="s">
        <v>10</v>
      </c>
      <c r="F12" s="9"/>
    </row>
    <row r="13" spans="1:30" ht="20.25" hidden="1" customHeight="1" x14ac:dyDescent="0.3">
      <c r="A13" s="8"/>
      <c r="B13" s="6" t="s">
        <v>6</v>
      </c>
      <c r="F13" s="9"/>
    </row>
    <row r="14" spans="1:30" ht="18.75" hidden="1" customHeight="1" x14ac:dyDescent="0.3">
      <c r="A14" s="8"/>
      <c r="B14" s="10"/>
      <c r="E14" s="11"/>
      <c r="F14" s="9"/>
      <c r="O14" s="11"/>
    </row>
    <row r="15" spans="1:30" ht="25.5" x14ac:dyDescent="0.25">
      <c r="A15" s="540" t="s">
        <v>146</v>
      </c>
      <c r="B15" s="541"/>
      <c r="C15" s="541"/>
      <c r="D15" s="541"/>
      <c r="E15" s="541"/>
      <c r="F15" s="541"/>
      <c r="G15" s="541"/>
      <c r="H15" s="541"/>
      <c r="I15" s="541"/>
      <c r="J15" s="541"/>
      <c r="K15" s="541"/>
      <c r="L15" s="541"/>
      <c r="M15" s="541"/>
      <c r="N15" s="541"/>
      <c r="O15" s="541"/>
      <c r="P15" s="541"/>
      <c r="Q15" s="541"/>
      <c r="R15" s="541"/>
      <c r="S15" s="541"/>
      <c r="T15" s="541"/>
      <c r="U15" s="541"/>
      <c r="V15" s="541"/>
      <c r="W15" s="420"/>
      <c r="X15" s="420"/>
      <c r="Y15" s="420"/>
      <c r="Z15" s="420"/>
      <c r="AA15" s="420"/>
      <c r="AB15" s="420"/>
      <c r="AC15" s="12"/>
    </row>
    <row r="16" spans="1:30" s="17" customFormat="1" x14ac:dyDescent="0.2">
      <c r="A16" s="13"/>
      <c r="B16" s="14"/>
      <c r="C16" s="15"/>
      <c r="D16" s="15"/>
      <c r="E16" s="15"/>
      <c r="F16" s="15"/>
      <c r="G16" s="15"/>
      <c r="H16" s="15"/>
      <c r="I16" s="16"/>
      <c r="J16" s="16"/>
      <c r="K16" s="15"/>
      <c r="L16" s="15"/>
      <c r="M16" s="15"/>
      <c r="N16" s="15"/>
    </row>
    <row r="17" spans="1:37" s="18" customFormat="1" ht="18.75" customHeight="1" x14ac:dyDescent="0.25">
      <c r="B17" s="19" t="s">
        <v>147</v>
      </c>
      <c r="C17" s="20"/>
      <c r="D17" s="20"/>
      <c r="E17" s="20"/>
      <c r="F17" s="20"/>
      <c r="G17" s="20"/>
      <c r="H17" s="20"/>
      <c r="I17" s="143"/>
      <c r="J17" s="143"/>
      <c r="K17" s="20"/>
      <c r="L17" s="143"/>
      <c r="M17" s="20"/>
      <c r="N17" s="20"/>
      <c r="O17" s="261"/>
      <c r="P17" s="261"/>
      <c r="Q17" s="261"/>
      <c r="R17" s="262"/>
      <c r="S17" s="262"/>
      <c r="T17" s="262">
        <v>0.15316088372845926</v>
      </c>
    </row>
    <row r="18" spans="1:37" s="18" customFormat="1" ht="18.75" customHeight="1" x14ac:dyDescent="0.25">
      <c r="B18" s="19" t="s">
        <v>148</v>
      </c>
      <c r="C18" s="20"/>
      <c r="D18" s="20"/>
      <c r="E18" s="20"/>
      <c r="F18" s="20"/>
      <c r="G18" s="20"/>
      <c r="H18" s="20"/>
      <c r="I18" s="176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61">
        <v>0.61707236203103444</v>
      </c>
      <c r="U18" s="20"/>
      <c r="V18" s="20"/>
      <c r="W18" s="20"/>
      <c r="X18" s="20"/>
      <c r="Y18" s="20"/>
      <c r="Z18" s="20"/>
      <c r="AA18" s="20"/>
      <c r="AB18" s="20"/>
    </row>
    <row r="19" spans="1:37" x14ac:dyDescent="0.25">
      <c r="I19" s="176"/>
      <c r="S19" s="21"/>
      <c r="V19" s="22"/>
      <c r="W19" s="217"/>
      <c r="X19" s="217"/>
      <c r="Y19" s="217"/>
      <c r="Z19" s="217"/>
      <c r="AA19" s="217"/>
      <c r="AB19" s="217"/>
    </row>
    <row r="20" spans="1:37" ht="33.75" customHeight="1" x14ac:dyDescent="0.25">
      <c r="A20" s="23" t="s">
        <v>11</v>
      </c>
      <c r="B20" s="23" t="s">
        <v>12</v>
      </c>
      <c r="F20" s="24" t="s">
        <v>13</v>
      </c>
      <c r="G20" s="25"/>
      <c r="H20" s="26" t="s">
        <v>14</v>
      </c>
      <c r="I20" s="542" t="s">
        <v>15</v>
      </c>
      <c r="J20" s="543"/>
      <c r="K20" s="543"/>
      <c r="L20" s="543"/>
      <c r="M20" s="543"/>
      <c r="N20" s="543"/>
      <c r="O20" s="543"/>
      <c r="P20" s="543"/>
      <c r="Q20" s="543"/>
      <c r="R20" s="543"/>
      <c r="S20" s="543"/>
      <c r="T20" s="543"/>
      <c r="U20" s="543"/>
      <c r="V20" s="543"/>
      <c r="W20" s="417"/>
      <c r="X20" s="417"/>
      <c r="Y20" s="417"/>
      <c r="Z20" s="417"/>
      <c r="AA20" s="417"/>
      <c r="AB20" s="417"/>
      <c r="AC20" s="27" t="s">
        <v>16</v>
      </c>
      <c r="AD20" s="548"/>
      <c r="AE20" s="548" t="s">
        <v>17</v>
      </c>
      <c r="AH20" s="21"/>
    </row>
    <row r="21" spans="1:37" x14ac:dyDescent="0.25">
      <c r="A21" s="28"/>
      <c r="B21" s="263"/>
      <c r="F21" s="29"/>
      <c r="G21" s="30"/>
      <c r="H21" s="31"/>
      <c r="I21" s="545"/>
      <c r="J21" s="546"/>
      <c r="K21" s="546"/>
      <c r="L21" s="546"/>
      <c r="M21" s="546"/>
      <c r="N21" s="546"/>
      <c r="O21" s="546"/>
      <c r="P21" s="546"/>
      <c r="Q21" s="546"/>
      <c r="R21" s="546"/>
      <c r="S21" s="546"/>
      <c r="T21" s="546"/>
      <c r="U21" s="546"/>
      <c r="V21" s="546"/>
      <c r="W21" s="418"/>
      <c r="X21" s="418"/>
      <c r="Y21" s="418"/>
      <c r="Z21" s="418"/>
      <c r="AA21" s="418"/>
      <c r="AB21" s="418"/>
      <c r="AC21" s="32"/>
      <c r="AD21" s="549"/>
      <c r="AE21" s="549"/>
      <c r="AH21" s="21"/>
    </row>
    <row r="22" spans="1:37" ht="15.75" customHeight="1" x14ac:dyDescent="0.25">
      <c r="A22" s="28"/>
      <c r="B22" s="28"/>
      <c r="C22" s="33" t="s">
        <v>18</v>
      </c>
      <c r="D22" s="25" t="s">
        <v>19</v>
      </c>
      <c r="E22" s="34" t="s">
        <v>20</v>
      </c>
      <c r="F22" s="35" t="s">
        <v>21</v>
      </c>
      <c r="G22" s="36" t="s">
        <v>22</v>
      </c>
      <c r="H22" s="31"/>
      <c r="I22" s="37" t="s">
        <v>23</v>
      </c>
      <c r="J22" s="37"/>
      <c r="K22" s="38">
        <v>2020</v>
      </c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234"/>
      <c r="X22" s="234"/>
      <c r="Y22" s="234"/>
      <c r="Z22" s="234"/>
      <c r="AA22" s="234"/>
      <c r="AB22" s="234"/>
      <c r="AC22" s="39"/>
      <c r="AE22" s="40"/>
      <c r="AH22" s="21"/>
    </row>
    <row r="23" spans="1:37" x14ac:dyDescent="0.25">
      <c r="A23" s="41"/>
      <c r="B23" s="183" t="s">
        <v>133</v>
      </c>
      <c r="C23" s="184"/>
      <c r="D23" s="185"/>
      <c r="E23" s="186"/>
      <c r="F23" s="187"/>
      <c r="G23" s="188"/>
      <c r="H23" s="189"/>
      <c r="I23" s="190">
        <f>1.05*1.051*0.94*1.3073819554469</f>
        <v>1.3561956755174207</v>
      </c>
      <c r="J23" s="156"/>
      <c r="K23" s="45" t="s">
        <v>24</v>
      </c>
      <c r="L23" s="46" t="s">
        <v>25</v>
      </c>
      <c r="M23" s="45" t="s">
        <v>26</v>
      </c>
      <c r="N23" s="45" t="s">
        <v>27</v>
      </c>
      <c r="O23" s="45" t="s">
        <v>28</v>
      </c>
      <c r="P23" s="45" t="s">
        <v>29</v>
      </c>
      <c r="Q23" s="45" t="s">
        <v>30</v>
      </c>
      <c r="R23" s="45" t="s">
        <v>31</v>
      </c>
      <c r="S23" s="45" t="s">
        <v>32</v>
      </c>
      <c r="T23" s="45" t="s">
        <v>33</v>
      </c>
      <c r="U23" s="45" t="s">
        <v>34</v>
      </c>
      <c r="V23" s="45" t="s">
        <v>35</v>
      </c>
      <c r="W23" s="45" t="s">
        <v>24</v>
      </c>
      <c r="X23" s="45" t="s">
        <v>25</v>
      </c>
      <c r="Y23" s="45" t="s">
        <v>26</v>
      </c>
      <c r="Z23" s="45" t="s">
        <v>27</v>
      </c>
      <c r="AA23" s="45" t="s">
        <v>28</v>
      </c>
      <c r="AB23" s="45" t="s">
        <v>29</v>
      </c>
      <c r="AC23" s="47" t="s">
        <v>139</v>
      </c>
      <c r="AE23" s="40"/>
      <c r="AH23" s="21"/>
    </row>
    <row r="24" spans="1:37" x14ac:dyDescent="0.25">
      <c r="A24" s="28"/>
      <c r="B24" s="230"/>
      <c r="C24" s="184"/>
      <c r="D24" s="185"/>
      <c r="E24" s="186"/>
      <c r="F24" s="231"/>
      <c r="G24" s="232"/>
      <c r="H24" s="189"/>
      <c r="I24" s="233"/>
      <c r="J24" s="156"/>
      <c r="K24" s="45"/>
      <c r="L24" s="46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7"/>
      <c r="AE24" s="40"/>
      <c r="AH24" s="21"/>
    </row>
    <row r="25" spans="1:37" ht="15.75" customHeight="1" x14ac:dyDescent="0.25">
      <c r="A25" s="54">
        <v>1</v>
      </c>
      <c r="B25" s="419" t="s">
        <v>66</v>
      </c>
      <c r="C25" s="49"/>
      <c r="D25" s="30"/>
      <c r="E25" s="42" t="e">
        <f t="shared" ref="E25" si="0">DATEDIF(F25,G25,"d")</f>
        <v>#NUM!</v>
      </c>
      <c r="F25" s="55">
        <v>44058</v>
      </c>
      <c r="G25" s="55"/>
      <c r="H25" s="56" t="s">
        <v>37</v>
      </c>
      <c r="I25" s="264">
        <f>SUM(K25:AC25)</f>
        <v>1</v>
      </c>
      <c r="J25" s="264">
        <f t="shared" ref="J25:J31" si="1">SUM(K25:V25)</f>
        <v>1</v>
      </c>
      <c r="K25" s="50"/>
      <c r="L25" s="50"/>
      <c r="M25" s="50"/>
      <c r="N25" s="50"/>
      <c r="O25" s="265">
        <v>0</v>
      </c>
      <c r="P25" s="265">
        <f>60%*0</f>
        <v>0</v>
      </c>
      <c r="Q25" s="265">
        <v>0</v>
      </c>
      <c r="R25" s="266">
        <v>0</v>
      </c>
      <c r="S25" s="266">
        <v>0</v>
      </c>
      <c r="T25" s="266">
        <v>1</v>
      </c>
      <c r="U25" s="267"/>
      <c r="V25" s="267"/>
      <c r="W25" s="267"/>
      <c r="X25" s="267"/>
      <c r="Y25" s="267"/>
      <c r="Z25" s="267"/>
      <c r="AA25" s="267"/>
      <c r="AB25" s="267"/>
      <c r="AC25" s="53">
        <f>J26-I26</f>
        <v>0</v>
      </c>
      <c r="AE25" s="40"/>
      <c r="AH25" s="21"/>
    </row>
    <row r="26" spans="1:37" ht="15.75" customHeight="1" x14ac:dyDescent="0.25">
      <c r="A26" s="60"/>
      <c r="B26" s="61"/>
      <c r="C26" s="49"/>
      <c r="D26" s="30"/>
      <c r="E26" s="42"/>
      <c r="F26" s="62"/>
      <c r="G26" s="62"/>
      <c r="H26" s="56" t="s">
        <v>36</v>
      </c>
      <c r="I26" s="268">
        <f>35528.23/1000</f>
        <v>35.528230000000001</v>
      </c>
      <c r="J26" s="153">
        <f t="shared" si="1"/>
        <v>35.528230000000001</v>
      </c>
      <c r="K26" s="147"/>
      <c r="L26" s="147"/>
      <c r="M26" s="147"/>
      <c r="N26" s="147"/>
      <c r="O26" s="147">
        <f>I26*O25</f>
        <v>0</v>
      </c>
      <c r="P26" s="147">
        <f>I26*P25</f>
        <v>0</v>
      </c>
      <c r="Q26" s="147">
        <f>I26*Q25</f>
        <v>0</v>
      </c>
      <c r="R26" s="147">
        <f>$I26*R25</f>
        <v>0</v>
      </c>
      <c r="S26" s="219">
        <f t="shared" ref="S26:T26" si="2">$I26*S25</f>
        <v>0</v>
      </c>
      <c r="T26" s="219">
        <f t="shared" si="2"/>
        <v>35.528230000000001</v>
      </c>
      <c r="U26" s="148"/>
      <c r="V26" s="148"/>
      <c r="W26" s="148"/>
      <c r="X26" s="148"/>
      <c r="Y26" s="148"/>
      <c r="Z26" s="148"/>
      <c r="AA26" s="148"/>
      <c r="AB26" s="148"/>
      <c r="AC26" s="53"/>
      <c r="AE26" s="64">
        <v>109.95413999999982</v>
      </c>
      <c r="AF26" s="21" t="e">
        <f>#REF!+#REF!+#REF!</f>
        <v>#REF!</v>
      </c>
      <c r="AH26" s="21">
        <v>6899.9044400000002</v>
      </c>
      <c r="AI26" s="21">
        <f>I26</f>
        <v>35.528230000000001</v>
      </c>
    </row>
    <row r="27" spans="1:37" ht="15.75" customHeight="1" x14ac:dyDescent="0.25">
      <c r="A27" s="54">
        <v>2</v>
      </c>
      <c r="B27" s="419" t="s">
        <v>67</v>
      </c>
      <c r="C27" s="49"/>
      <c r="D27" s="30"/>
      <c r="E27" s="56">
        <f t="shared" ref="E27:E59" si="3">DATEDIF(F27,G27,"d")</f>
        <v>964</v>
      </c>
      <c r="F27" s="55">
        <v>43160</v>
      </c>
      <c r="G27" s="55">
        <v>44124</v>
      </c>
      <c r="H27" s="56" t="s">
        <v>37</v>
      </c>
      <c r="I27" s="264">
        <f>SUM(K27:AC27)</f>
        <v>1</v>
      </c>
      <c r="J27" s="264">
        <f t="shared" si="1"/>
        <v>1</v>
      </c>
      <c r="K27" s="50"/>
      <c r="L27" s="50"/>
      <c r="M27" s="50"/>
      <c r="N27" s="50"/>
      <c r="O27" s="269"/>
      <c r="P27" s="269"/>
      <c r="Q27" s="269"/>
      <c r="R27" s="269"/>
      <c r="S27" s="270">
        <v>0</v>
      </c>
      <c r="T27" s="270">
        <v>0.5</v>
      </c>
      <c r="U27" s="270">
        <v>0.5</v>
      </c>
      <c r="V27" s="51"/>
      <c r="W27" s="51"/>
      <c r="X27" s="51"/>
      <c r="Y27" s="51"/>
      <c r="Z27" s="51"/>
      <c r="AA27" s="51"/>
      <c r="AB27" s="51"/>
      <c r="AC27" s="53"/>
      <c r="AE27" s="64"/>
      <c r="AH27" s="21"/>
      <c r="AI27" s="21"/>
    </row>
    <row r="28" spans="1:37" ht="15.75" customHeight="1" x14ac:dyDescent="0.25">
      <c r="A28" s="60"/>
      <c r="B28" s="83"/>
      <c r="C28" s="49"/>
      <c r="D28" s="30"/>
      <c r="E28" s="42"/>
      <c r="F28" s="62"/>
      <c r="G28" s="62"/>
      <c r="H28" s="56" t="s">
        <v>36</v>
      </c>
      <c r="I28" s="268">
        <f>5825888.42/1000</f>
        <v>5825.8884200000002</v>
      </c>
      <c r="J28" s="153">
        <f t="shared" si="1"/>
        <v>5825.8884200000002</v>
      </c>
      <c r="K28" s="147"/>
      <c r="L28" s="147"/>
      <c r="M28" s="147"/>
      <c r="N28" s="147"/>
      <c r="O28" s="147"/>
      <c r="P28" s="147"/>
      <c r="Q28" s="147"/>
      <c r="R28" s="147"/>
      <c r="S28" s="148">
        <f>I28*S27</f>
        <v>0</v>
      </c>
      <c r="T28" s="148">
        <f>I28*T27</f>
        <v>2912.9442100000001</v>
      </c>
      <c r="U28" s="148">
        <f>I28*U27</f>
        <v>2912.9442100000001</v>
      </c>
      <c r="V28" s="148"/>
      <c r="W28" s="148"/>
      <c r="X28" s="148"/>
      <c r="Y28" s="148"/>
      <c r="Z28" s="148"/>
      <c r="AA28" s="148"/>
      <c r="AB28" s="148"/>
      <c r="AC28" s="53"/>
      <c r="AE28" s="64">
        <v>0.23423000000002503</v>
      </c>
      <c r="AH28" s="21">
        <v>7126.4367700000003</v>
      </c>
      <c r="AI28" s="21">
        <f>I28</f>
        <v>5825.8884200000002</v>
      </c>
    </row>
    <row r="29" spans="1:37" s="18" customFormat="1" ht="15.75" customHeight="1" x14ac:dyDescent="0.25">
      <c r="A29" s="65">
        <v>3</v>
      </c>
      <c r="B29" s="271" t="s">
        <v>84</v>
      </c>
      <c r="C29" s="42"/>
      <c r="D29" s="67"/>
      <c r="E29" s="42">
        <f t="shared" si="3"/>
        <v>76</v>
      </c>
      <c r="F29" s="55">
        <v>43905</v>
      </c>
      <c r="G29" s="68">
        <v>43981</v>
      </c>
      <c r="H29" s="56" t="s">
        <v>37</v>
      </c>
      <c r="I29" s="264">
        <f>SUM(K29:AC29)</f>
        <v>1</v>
      </c>
      <c r="J29" s="264">
        <f t="shared" si="1"/>
        <v>1</v>
      </c>
      <c r="K29" s="50"/>
      <c r="L29" s="50"/>
      <c r="M29" s="269"/>
      <c r="N29" s="269"/>
      <c r="O29" s="272">
        <v>0</v>
      </c>
      <c r="P29" s="272">
        <f>35%*0</f>
        <v>0</v>
      </c>
      <c r="Q29" s="266">
        <f>Q30/I30</f>
        <v>0.25893774008864501</v>
      </c>
      <c r="R29" s="266">
        <v>0</v>
      </c>
      <c r="S29" s="266">
        <v>0</v>
      </c>
      <c r="T29" s="266">
        <v>0.74106225991135499</v>
      </c>
      <c r="U29" s="266">
        <v>0</v>
      </c>
      <c r="V29" s="51"/>
      <c r="W29" s="51"/>
      <c r="X29" s="51"/>
      <c r="Y29" s="51"/>
      <c r="Z29" s="51"/>
      <c r="AA29" s="51"/>
      <c r="AB29" s="51"/>
      <c r="AC29" s="69"/>
      <c r="AE29" s="64"/>
      <c r="AH29" s="21"/>
      <c r="AI29" s="21"/>
    </row>
    <row r="30" spans="1:37" ht="15.75" customHeight="1" x14ac:dyDescent="0.25">
      <c r="A30" s="70"/>
      <c r="B30" s="71"/>
      <c r="C30" s="42"/>
      <c r="D30" s="67"/>
      <c r="E30" s="42"/>
      <c r="F30" s="72"/>
      <c r="G30" s="73"/>
      <c r="H30" s="56" t="s">
        <v>36</v>
      </c>
      <c r="I30" s="268">
        <f>10531206.61/1000</f>
        <v>10531.206609999999</v>
      </c>
      <c r="J30" s="153">
        <f t="shared" si="1"/>
        <v>10531.206609999999</v>
      </c>
      <c r="K30" s="149"/>
      <c r="L30" s="149"/>
      <c r="M30" s="147"/>
      <c r="N30" s="147"/>
      <c r="O30" s="147">
        <f>I30*O29</f>
        <v>0</v>
      </c>
      <c r="P30" s="147">
        <f>I30*P29</f>
        <v>0</v>
      </c>
      <c r="Q30" s="219">
        <v>2726.9268400000001</v>
      </c>
      <c r="R30" s="147">
        <f>I30*R29</f>
        <v>0</v>
      </c>
      <c r="S30" s="150">
        <f>I30*S29</f>
        <v>0</v>
      </c>
      <c r="T30" s="150">
        <f>I30*T29</f>
        <v>7804.2797699999992</v>
      </c>
      <c r="U30" s="148">
        <f>I30*U29</f>
        <v>0</v>
      </c>
      <c r="V30" s="148"/>
      <c r="W30" s="148"/>
      <c r="X30" s="148"/>
      <c r="Y30" s="148"/>
      <c r="Z30" s="148"/>
      <c r="AA30" s="148"/>
      <c r="AB30" s="148"/>
      <c r="AC30" s="53"/>
      <c r="AE30" s="75">
        <v>-8297.56675</v>
      </c>
      <c r="AF30" s="76" t="s">
        <v>38</v>
      </c>
      <c r="AH30" s="21">
        <v>13473.14</v>
      </c>
      <c r="AI30" s="21">
        <f>I30</f>
        <v>10531.206609999999</v>
      </c>
      <c r="AJ30" s="21"/>
      <c r="AK30" s="273">
        <f>R35/I35</f>
        <v>0.11403209843039541</v>
      </c>
    </row>
    <row r="31" spans="1:37" ht="15.75" customHeight="1" x14ac:dyDescent="0.25">
      <c r="A31" s="138"/>
      <c r="B31" s="274" t="s">
        <v>68</v>
      </c>
      <c r="C31" s="42"/>
      <c r="D31" s="139"/>
      <c r="E31" s="42"/>
      <c r="F31" s="140"/>
      <c r="G31" s="141"/>
      <c r="H31" s="56"/>
      <c r="I31" s="63"/>
      <c r="J31" s="63">
        <f t="shared" si="1"/>
        <v>0</v>
      </c>
      <c r="K31" s="74"/>
      <c r="L31" s="74"/>
      <c r="M31" s="50"/>
      <c r="N31" s="50"/>
      <c r="O31" s="50"/>
      <c r="P31" s="50"/>
      <c r="Q31" s="50"/>
      <c r="R31" s="50"/>
      <c r="S31" s="136"/>
      <c r="T31" s="136"/>
      <c r="U31" s="51"/>
      <c r="V31" s="51"/>
      <c r="W31" s="51"/>
      <c r="X31" s="51"/>
      <c r="Y31" s="51"/>
      <c r="Z31" s="51"/>
      <c r="AA31" s="51"/>
      <c r="AB31" s="51"/>
      <c r="AC31" s="53"/>
      <c r="AE31" s="75"/>
      <c r="AF31" s="76"/>
      <c r="AH31" s="21"/>
      <c r="AI31" s="21"/>
      <c r="AJ31" s="21"/>
    </row>
    <row r="32" spans="1:37" ht="15.75" customHeight="1" outlineLevel="1" x14ac:dyDescent="0.25">
      <c r="A32" s="79" t="s">
        <v>89</v>
      </c>
      <c r="B32" s="534" t="s">
        <v>86</v>
      </c>
      <c r="C32" s="49"/>
      <c r="D32" s="30"/>
      <c r="E32" s="42">
        <f t="shared" si="3"/>
        <v>178</v>
      </c>
      <c r="F32" s="55">
        <v>43936</v>
      </c>
      <c r="G32" s="55">
        <v>44114</v>
      </c>
      <c r="H32" s="56" t="s">
        <v>37</v>
      </c>
      <c r="I32" s="264">
        <f>SUM(K32:AC32)</f>
        <v>0.99999999999999989</v>
      </c>
      <c r="J32" s="264">
        <f>SUM(K32:AA32)</f>
        <v>0.99999999999999989</v>
      </c>
      <c r="K32" s="50"/>
      <c r="L32" s="50"/>
      <c r="M32" s="50"/>
      <c r="N32" s="50"/>
      <c r="O32" s="272">
        <v>0</v>
      </c>
      <c r="P32" s="272">
        <f>14%*0</f>
        <v>0</v>
      </c>
      <c r="Q32" s="272">
        <v>0</v>
      </c>
      <c r="R32" s="266">
        <f>R33/I33</f>
        <v>3.0594484181836835E-2</v>
      </c>
      <c r="S32" s="270">
        <v>0</v>
      </c>
      <c r="T32" s="270">
        <v>0.25480130727812361</v>
      </c>
      <c r="U32" s="270">
        <v>0.12250357860686391</v>
      </c>
      <c r="V32" s="270">
        <v>0.12250357860686391</v>
      </c>
      <c r="W32" s="270">
        <v>0.12250357860686391</v>
      </c>
      <c r="X32" s="270">
        <v>0.1531294732585799</v>
      </c>
      <c r="Y32" s="270">
        <v>0.10208631550571994</v>
      </c>
      <c r="Z32" s="270">
        <v>9.1877683955147921E-2</v>
      </c>
      <c r="AA32" s="270">
        <v>0</v>
      </c>
      <c r="AB32" s="270"/>
      <c r="AC32" s="53"/>
      <c r="AE32" s="40"/>
      <c r="AH32" s="21"/>
    </row>
    <row r="33" spans="1:37" ht="15.75" customHeight="1" outlineLevel="1" x14ac:dyDescent="0.25">
      <c r="A33" s="60"/>
      <c r="B33" s="535"/>
      <c r="C33" s="49"/>
      <c r="D33" s="30"/>
      <c r="E33" s="42"/>
      <c r="F33" s="62"/>
      <c r="G33" s="62"/>
      <c r="H33" s="56" t="s">
        <v>36</v>
      </c>
      <c r="I33" s="268">
        <f>57094202.37/1000+9712448.22/1000+114591.75/1000</f>
        <v>66921.242340000012</v>
      </c>
      <c r="J33" s="153">
        <f>SUM(K33:AA33)</f>
        <v>66921.242340000012</v>
      </c>
      <c r="K33" s="147"/>
      <c r="L33" s="147"/>
      <c r="M33" s="147"/>
      <c r="N33" s="147"/>
      <c r="O33" s="147">
        <f>I33*O32</f>
        <v>0</v>
      </c>
      <c r="P33" s="147">
        <f>I33*P32</f>
        <v>0</v>
      </c>
      <c r="Q33" s="147">
        <f>I33*Q32</f>
        <v>0</v>
      </c>
      <c r="R33" s="219">
        <v>2047.4208901999998</v>
      </c>
      <c r="S33" s="219">
        <v>0</v>
      </c>
      <c r="T33" s="147">
        <f>$I33*T32</f>
        <v>17051.620032908118</v>
      </c>
      <c r="U33" s="147">
        <f>$I33*U32</f>
        <v>8198.0916714671803</v>
      </c>
      <c r="V33" s="147">
        <f t="shared" ref="V33:AA33" si="4">$I33*V32</f>
        <v>8198.0916714671803</v>
      </c>
      <c r="W33" s="245">
        <f t="shared" si="4"/>
        <v>8198.0916714671803</v>
      </c>
      <c r="X33" s="245">
        <f t="shared" si="4"/>
        <v>10247.614589333976</v>
      </c>
      <c r="Y33" s="245">
        <f t="shared" si="4"/>
        <v>6831.7430595559845</v>
      </c>
      <c r="Z33" s="245">
        <f t="shared" si="4"/>
        <v>6148.5687536003852</v>
      </c>
      <c r="AA33" s="245">
        <f t="shared" si="4"/>
        <v>0</v>
      </c>
      <c r="AB33" s="245"/>
      <c r="AC33" s="53"/>
      <c r="AE33" s="64">
        <v>109.95413999999982</v>
      </c>
      <c r="AF33" s="21" t="e">
        <f>#REF!+#REF!+#REF!</f>
        <v>#REF!</v>
      </c>
      <c r="AH33" s="21">
        <v>6899.9044400000002</v>
      </c>
      <c r="AI33" s="21">
        <f>I33</f>
        <v>66921.242340000012</v>
      </c>
      <c r="AK33" s="200"/>
    </row>
    <row r="34" spans="1:37" ht="15.75" customHeight="1" outlineLevel="1" x14ac:dyDescent="0.25">
      <c r="A34" s="79" t="s">
        <v>91</v>
      </c>
      <c r="B34" s="534" t="s">
        <v>88</v>
      </c>
      <c r="C34" s="49"/>
      <c r="D34" s="30"/>
      <c r="E34" s="42">
        <f t="shared" ref="E34" si="5">DATEDIF(F34,G34,"d")</f>
        <v>178</v>
      </c>
      <c r="F34" s="55">
        <v>43936</v>
      </c>
      <c r="G34" s="55">
        <v>44114</v>
      </c>
      <c r="H34" s="56" t="s">
        <v>37</v>
      </c>
      <c r="I34" s="264">
        <f>SUM(K34:AC34)</f>
        <v>0.99999999999999989</v>
      </c>
      <c r="J34" s="264">
        <f>SUM(K34:AC34)</f>
        <v>0.99999999999999989</v>
      </c>
      <c r="K34" s="50"/>
      <c r="L34" s="50"/>
      <c r="M34" s="50"/>
      <c r="N34" s="50"/>
      <c r="O34" s="275">
        <v>0</v>
      </c>
      <c r="P34" s="275">
        <f>6.4%*0</f>
        <v>0</v>
      </c>
      <c r="Q34" s="275">
        <v>0</v>
      </c>
      <c r="R34" s="266">
        <v>0.11403209843039541</v>
      </c>
      <c r="S34" s="270">
        <v>0</v>
      </c>
      <c r="T34" s="270">
        <v>0.17136369302956514</v>
      </c>
      <c r="U34" s="270">
        <v>0.12250357860686391</v>
      </c>
      <c r="V34" s="270">
        <v>0.12250357860686391</v>
      </c>
      <c r="W34" s="270">
        <v>0.12250357860686391</v>
      </c>
      <c r="X34" s="270">
        <v>0.1531294732585799</v>
      </c>
      <c r="Y34" s="270">
        <v>0.10208631550571994</v>
      </c>
      <c r="Z34" s="270">
        <v>9.1877683955147921E-2</v>
      </c>
      <c r="AA34" s="270">
        <v>0</v>
      </c>
      <c r="AB34" s="270"/>
      <c r="AC34" s="53"/>
      <c r="AE34" s="40"/>
      <c r="AH34" s="21"/>
      <c r="AK34" s="200"/>
    </row>
    <row r="35" spans="1:37" ht="15.75" customHeight="1" outlineLevel="1" x14ac:dyDescent="0.25">
      <c r="A35" s="60"/>
      <c r="B35" s="535"/>
      <c r="C35" s="49"/>
      <c r="D35" s="30"/>
      <c r="E35" s="42"/>
      <c r="F35" s="62"/>
      <c r="G35" s="62"/>
      <c r="H35" s="56" t="s">
        <v>36</v>
      </c>
      <c r="I35" s="276">
        <f>11617128.76/1000+1639663.63/1000+389473.63/1000</f>
        <v>13646.266019999999</v>
      </c>
      <c r="J35" s="153">
        <f>SUM(K35:AC35)</f>
        <v>13646.266020000001</v>
      </c>
      <c r="K35" s="147"/>
      <c r="L35" s="147"/>
      <c r="M35" s="147"/>
      <c r="N35" s="147"/>
      <c r="O35" s="147">
        <f>I35*O34</f>
        <v>0</v>
      </c>
      <c r="P35" s="147">
        <f>I35*P34</f>
        <v>0</v>
      </c>
      <c r="Q35" s="147">
        <f>I35*Q34</f>
        <v>0</v>
      </c>
      <c r="R35" s="219">
        <f>$I35*R34</f>
        <v>1556.1123500000001</v>
      </c>
      <c r="S35" s="219">
        <v>0</v>
      </c>
      <c r="T35" s="277">
        <f>$I35*T34</f>
        <v>2338.4745412510656</v>
      </c>
      <c r="U35" s="277">
        <f t="shared" ref="U35:Z35" si="6">$I35*U34</f>
        <v>1671.7164220712457</v>
      </c>
      <c r="V35" s="277">
        <f t="shared" si="6"/>
        <v>1671.7164220712457</v>
      </c>
      <c r="W35" s="277">
        <f t="shared" si="6"/>
        <v>1671.7164220712457</v>
      </c>
      <c r="X35" s="277">
        <f t="shared" si="6"/>
        <v>2089.6455275890576</v>
      </c>
      <c r="Y35" s="277">
        <f t="shared" si="6"/>
        <v>1393.097018392705</v>
      </c>
      <c r="Z35" s="277">
        <f t="shared" si="6"/>
        <v>1253.7873165534343</v>
      </c>
      <c r="AA35" s="148"/>
      <c r="AB35" s="148"/>
      <c r="AC35" s="53"/>
      <c r="AE35" s="64">
        <v>109.95413999999982</v>
      </c>
      <c r="AF35" s="21" t="e">
        <f>#REF!+#REF!+#REF!</f>
        <v>#REF!</v>
      </c>
      <c r="AH35" s="21">
        <v>6899.9044400000002</v>
      </c>
      <c r="AI35" s="21">
        <f>I35</f>
        <v>13646.266019999999</v>
      </c>
      <c r="AK35" s="200">
        <f>I35-R35-T35-U35-V35-W35-X35-Y35-Z35</f>
        <v>0</v>
      </c>
    </row>
    <row r="36" spans="1:37" s="18" customFormat="1" ht="15.75" customHeight="1" outlineLevel="1" x14ac:dyDescent="0.25">
      <c r="A36" s="65">
        <v>5</v>
      </c>
      <c r="B36" s="271" t="s">
        <v>85</v>
      </c>
      <c r="C36" s="35"/>
      <c r="D36" s="246"/>
      <c r="E36" s="42">
        <f t="shared" si="3"/>
        <v>90</v>
      </c>
      <c r="F36" s="55">
        <v>43952</v>
      </c>
      <c r="G36" s="55">
        <v>44042</v>
      </c>
      <c r="H36" s="56" t="s">
        <v>37</v>
      </c>
      <c r="I36" s="278">
        <f>SUM(K36:AC36)</f>
        <v>1</v>
      </c>
      <c r="J36" s="278">
        <f t="shared" ref="J36:J72" si="7">SUM(K36:AA36)</f>
        <v>1</v>
      </c>
      <c r="K36" s="50"/>
      <c r="L36" s="50"/>
      <c r="M36" s="50"/>
      <c r="N36" s="50"/>
      <c r="O36" s="269"/>
      <c r="P36" s="269">
        <f>20%*0</f>
        <v>0</v>
      </c>
      <c r="Q36" s="269">
        <v>0</v>
      </c>
      <c r="R36" s="269">
        <v>0</v>
      </c>
      <c r="S36" s="269">
        <v>0</v>
      </c>
      <c r="T36" s="279">
        <v>0.1</v>
      </c>
      <c r="U36" s="279">
        <v>0.05</v>
      </c>
      <c r="V36" s="279">
        <v>0.05</v>
      </c>
      <c r="W36" s="279"/>
      <c r="X36" s="279"/>
      <c r="Y36" s="279">
        <v>0.4</v>
      </c>
      <c r="Z36" s="279">
        <v>0.4</v>
      </c>
      <c r="AA36" s="269">
        <v>0</v>
      </c>
      <c r="AB36" s="269"/>
      <c r="AC36" s="69"/>
      <c r="AE36" s="109"/>
      <c r="AH36" s="97"/>
      <c r="AI36" s="97"/>
    </row>
    <row r="37" spans="1:37" s="18" customFormat="1" ht="15.75" customHeight="1" outlineLevel="1" x14ac:dyDescent="0.25">
      <c r="A37" s="70"/>
      <c r="B37" s="247"/>
      <c r="C37" s="35"/>
      <c r="D37" s="246"/>
      <c r="E37" s="42"/>
      <c r="F37" s="248"/>
      <c r="G37" s="248"/>
      <c r="H37" s="56" t="s">
        <v>36</v>
      </c>
      <c r="I37" s="280">
        <f>976997.94/1000+1467921.79/1000</f>
        <v>2444.9197300000001</v>
      </c>
      <c r="J37" s="249">
        <f t="shared" si="7"/>
        <v>2444.9197300000005</v>
      </c>
      <c r="K37" s="147"/>
      <c r="L37" s="147"/>
      <c r="M37" s="147"/>
      <c r="N37" s="147"/>
      <c r="O37" s="147"/>
      <c r="P37" s="147">
        <f>I37*P36</f>
        <v>0</v>
      </c>
      <c r="Q37" s="147">
        <f>I37*Q36</f>
        <v>0</v>
      </c>
      <c r="R37" s="147">
        <f>I37*R36</f>
        <v>0</v>
      </c>
      <c r="S37" s="148">
        <f>$I37*S36</f>
        <v>0</v>
      </c>
      <c r="T37" s="281">
        <f>$I37*T36</f>
        <v>244.49197300000003</v>
      </c>
      <c r="U37" s="281">
        <f t="shared" ref="U37:Z37" si="8">$I37*U36</f>
        <v>122.24598650000001</v>
      </c>
      <c r="V37" s="281">
        <f t="shared" si="8"/>
        <v>122.24598650000001</v>
      </c>
      <c r="W37" s="281">
        <f t="shared" si="8"/>
        <v>0</v>
      </c>
      <c r="X37" s="281">
        <f t="shared" si="8"/>
        <v>0</v>
      </c>
      <c r="Y37" s="281">
        <f t="shared" si="8"/>
        <v>977.96789200000012</v>
      </c>
      <c r="Z37" s="281">
        <f t="shared" si="8"/>
        <v>977.96789200000012</v>
      </c>
      <c r="AA37" s="148"/>
      <c r="AB37" s="148"/>
      <c r="AC37" s="69"/>
      <c r="AE37" s="109">
        <v>0.23423000000002503</v>
      </c>
      <c r="AH37" s="97">
        <v>7126.4367700000003</v>
      </c>
      <c r="AI37" s="97">
        <f>I37</f>
        <v>2444.9197300000001</v>
      </c>
      <c r="AK37" s="235">
        <f>T35+AK35</f>
        <v>2338.4745412510656</v>
      </c>
    </row>
    <row r="38" spans="1:37" s="18" customFormat="1" ht="15.75" customHeight="1" outlineLevel="1" x14ac:dyDescent="0.25">
      <c r="A38" s="65">
        <v>6</v>
      </c>
      <c r="B38" s="419" t="s">
        <v>70</v>
      </c>
      <c r="C38" s="42"/>
      <c r="D38" s="67"/>
      <c r="E38" s="42">
        <f t="shared" ref="E38" si="9">DATEDIF(F38,G38,"d")</f>
        <v>59</v>
      </c>
      <c r="F38" s="55">
        <v>43983</v>
      </c>
      <c r="G38" s="68">
        <v>44042</v>
      </c>
      <c r="H38" s="56" t="s">
        <v>37</v>
      </c>
      <c r="I38" s="264">
        <f>SUM(K38:AC38)</f>
        <v>1</v>
      </c>
      <c r="J38" s="264">
        <f t="shared" si="7"/>
        <v>1</v>
      </c>
      <c r="K38" s="50"/>
      <c r="L38" s="50"/>
      <c r="M38" s="50"/>
      <c r="N38" s="50"/>
      <c r="O38" s="269"/>
      <c r="P38" s="269"/>
      <c r="Q38" s="272">
        <v>0</v>
      </c>
      <c r="R38" s="272">
        <v>0</v>
      </c>
      <c r="S38" s="265">
        <v>0</v>
      </c>
      <c r="T38" s="270">
        <v>0</v>
      </c>
      <c r="U38" s="266">
        <v>0</v>
      </c>
      <c r="V38" s="266">
        <v>0</v>
      </c>
      <c r="W38" s="266">
        <v>0</v>
      </c>
      <c r="X38" s="266">
        <v>0</v>
      </c>
      <c r="Y38" s="270">
        <v>0.2</v>
      </c>
      <c r="Z38" s="266">
        <v>0.8</v>
      </c>
      <c r="AA38" s="266">
        <v>0</v>
      </c>
      <c r="AB38" s="266"/>
      <c r="AC38" s="69"/>
      <c r="AE38" s="64"/>
      <c r="AH38" s="21"/>
      <c r="AI38" s="21"/>
    </row>
    <row r="39" spans="1:37" ht="15.75" customHeight="1" outlineLevel="1" x14ac:dyDescent="0.25">
      <c r="A39" s="70"/>
      <c r="B39" s="71"/>
      <c r="C39" s="42"/>
      <c r="D39" s="67"/>
      <c r="E39" s="42"/>
      <c r="F39" s="72"/>
      <c r="G39" s="73"/>
      <c r="H39" s="56" t="s">
        <v>36</v>
      </c>
      <c r="I39" s="268">
        <f>12299.34/1000</f>
        <v>12.299340000000001</v>
      </c>
      <c r="J39" s="153">
        <f t="shared" si="7"/>
        <v>12.299340000000001</v>
      </c>
      <c r="K39" s="149"/>
      <c r="L39" s="149"/>
      <c r="M39" s="147"/>
      <c r="N39" s="147"/>
      <c r="O39" s="147"/>
      <c r="P39" s="147"/>
      <c r="Q39" s="147">
        <f>I39*Q38</f>
        <v>0</v>
      </c>
      <c r="R39" s="147">
        <f>I39*R38</f>
        <v>0</v>
      </c>
      <c r="S39" s="150">
        <f>I39*S38</f>
        <v>0</v>
      </c>
      <c r="T39" s="150">
        <f>$I39*T38</f>
        <v>0</v>
      </c>
      <c r="U39" s="150">
        <f t="shared" ref="U39:AA39" si="10">$I39*U38</f>
        <v>0</v>
      </c>
      <c r="V39" s="150">
        <f t="shared" si="10"/>
        <v>0</v>
      </c>
      <c r="W39" s="150">
        <f t="shared" si="10"/>
        <v>0</v>
      </c>
      <c r="X39" s="150">
        <f t="shared" si="10"/>
        <v>0</v>
      </c>
      <c r="Y39" s="150">
        <f t="shared" si="10"/>
        <v>2.4598680000000002</v>
      </c>
      <c r="Z39" s="150">
        <f t="shared" si="10"/>
        <v>9.8394720000000007</v>
      </c>
      <c r="AA39" s="150">
        <f t="shared" si="10"/>
        <v>0</v>
      </c>
      <c r="AB39" s="150"/>
      <c r="AC39" s="53"/>
      <c r="AE39" s="75">
        <v>-8297.56675</v>
      </c>
      <c r="AF39" s="76" t="s">
        <v>38</v>
      </c>
      <c r="AH39" s="21">
        <v>13473.14</v>
      </c>
      <c r="AI39" s="21">
        <f>I39</f>
        <v>12.299340000000001</v>
      </c>
      <c r="AJ39" s="21"/>
    </row>
    <row r="40" spans="1:37" s="18" customFormat="1" ht="15.75" customHeight="1" outlineLevel="1" x14ac:dyDescent="0.25">
      <c r="A40" s="65">
        <v>7</v>
      </c>
      <c r="B40" s="271" t="s">
        <v>69</v>
      </c>
      <c r="C40" s="35"/>
      <c r="D40" s="246"/>
      <c r="E40" s="42">
        <f t="shared" ref="E40" si="11">DATEDIF(F40,G40,"d")</f>
        <v>29</v>
      </c>
      <c r="F40" s="55">
        <v>43983</v>
      </c>
      <c r="G40" s="55">
        <v>44012</v>
      </c>
      <c r="H40" s="56" t="s">
        <v>37</v>
      </c>
      <c r="I40" s="278">
        <f>SUM(K40:AC40)</f>
        <v>1</v>
      </c>
      <c r="J40" s="278">
        <f t="shared" si="7"/>
        <v>1</v>
      </c>
      <c r="K40" s="50"/>
      <c r="L40" s="50"/>
      <c r="M40" s="50"/>
      <c r="N40" s="50"/>
      <c r="O40" s="269"/>
      <c r="P40" s="269"/>
      <c r="Q40" s="272">
        <v>0</v>
      </c>
      <c r="R40" s="272">
        <v>0</v>
      </c>
      <c r="S40" s="265">
        <v>0</v>
      </c>
      <c r="T40" s="282">
        <v>0.5</v>
      </c>
      <c r="U40" s="282">
        <v>0.5</v>
      </c>
      <c r="V40" s="282">
        <v>0</v>
      </c>
      <c r="W40" s="282">
        <v>0</v>
      </c>
      <c r="X40" s="282">
        <v>0</v>
      </c>
      <c r="Y40" s="282">
        <v>0</v>
      </c>
      <c r="Z40" s="282">
        <v>0</v>
      </c>
      <c r="AA40" s="282">
        <v>0</v>
      </c>
      <c r="AB40" s="282"/>
      <c r="AC40" s="69"/>
      <c r="AE40" s="117"/>
      <c r="AH40" s="97"/>
    </row>
    <row r="41" spans="1:37" s="18" customFormat="1" ht="15.75" customHeight="1" outlineLevel="1" x14ac:dyDescent="0.25">
      <c r="A41" s="70"/>
      <c r="B41" s="247"/>
      <c r="C41" s="35"/>
      <c r="D41" s="246"/>
      <c r="E41" s="42"/>
      <c r="F41" s="248"/>
      <c r="G41" s="248"/>
      <c r="H41" s="56" t="s">
        <v>36</v>
      </c>
      <c r="I41" s="280">
        <f>86795.17/1000</f>
        <v>86.795169999999999</v>
      </c>
      <c r="J41" s="249">
        <f t="shared" si="7"/>
        <v>86.795169999999999</v>
      </c>
      <c r="K41" s="147"/>
      <c r="L41" s="147"/>
      <c r="M41" s="147"/>
      <c r="N41" s="147"/>
      <c r="O41" s="147"/>
      <c r="P41" s="147"/>
      <c r="Q41" s="147">
        <f>I41*Q40</f>
        <v>0</v>
      </c>
      <c r="R41" s="147">
        <f>I41*R40</f>
        <v>0</v>
      </c>
      <c r="S41" s="148">
        <f>I41*S40</f>
        <v>0</v>
      </c>
      <c r="T41" s="148">
        <f>$I41*T40</f>
        <v>43.397584999999999</v>
      </c>
      <c r="U41" s="148">
        <f>$I41*U40</f>
        <v>43.397584999999999</v>
      </c>
      <c r="V41" s="148">
        <f t="shared" ref="V41:AA41" si="12">$I41*V40</f>
        <v>0</v>
      </c>
      <c r="W41" s="148">
        <f t="shared" si="12"/>
        <v>0</v>
      </c>
      <c r="X41" s="148">
        <f t="shared" si="12"/>
        <v>0</v>
      </c>
      <c r="Y41" s="148">
        <f t="shared" si="12"/>
        <v>0</v>
      </c>
      <c r="Z41" s="148">
        <f t="shared" si="12"/>
        <v>0</v>
      </c>
      <c r="AA41" s="148">
        <f t="shared" si="12"/>
        <v>0</v>
      </c>
      <c r="AB41" s="148"/>
      <c r="AC41" s="69"/>
      <c r="AE41" s="109">
        <v>109.95413999999982</v>
      </c>
      <c r="AF41" s="97" t="e">
        <f>#REF!+#REF!+#REF!</f>
        <v>#REF!</v>
      </c>
      <c r="AH41" s="97">
        <v>6899.9044400000002</v>
      </c>
      <c r="AI41" s="97">
        <f>I41</f>
        <v>86.795169999999999</v>
      </c>
    </row>
    <row r="42" spans="1:37" s="18" customFormat="1" ht="15.75" customHeight="1" outlineLevel="1" x14ac:dyDescent="0.25">
      <c r="A42" s="65">
        <v>8</v>
      </c>
      <c r="B42" s="271" t="s">
        <v>71</v>
      </c>
      <c r="C42" s="35"/>
      <c r="D42" s="246"/>
      <c r="E42" s="42">
        <f t="shared" ref="E42" si="13">DATEDIF(F42,G42,"d")</f>
        <v>29</v>
      </c>
      <c r="F42" s="55">
        <v>44013</v>
      </c>
      <c r="G42" s="55">
        <v>44042</v>
      </c>
      <c r="H42" s="56" t="s">
        <v>37</v>
      </c>
      <c r="I42" s="278">
        <f>SUM(K42:AC42)</f>
        <v>1</v>
      </c>
      <c r="J42" s="278">
        <f t="shared" si="7"/>
        <v>1</v>
      </c>
      <c r="K42" s="50"/>
      <c r="L42" s="50"/>
      <c r="M42" s="50"/>
      <c r="N42" s="50"/>
      <c r="O42" s="269"/>
      <c r="P42" s="269"/>
      <c r="Q42" s="269"/>
      <c r="R42" s="272">
        <v>0</v>
      </c>
      <c r="S42" s="265">
        <v>0</v>
      </c>
      <c r="T42" s="282">
        <v>0</v>
      </c>
      <c r="U42" s="282">
        <v>0</v>
      </c>
      <c r="V42" s="282">
        <v>0</v>
      </c>
      <c r="W42" s="282">
        <v>0</v>
      </c>
      <c r="X42" s="282">
        <v>0</v>
      </c>
      <c r="Y42" s="282">
        <v>0</v>
      </c>
      <c r="Z42" s="282">
        <v>1</v>
      </c>
      <c r="AA42" s="282">
        <v>0</v>
      </c>
      <c r="AB42" s="282"/>
      <c r="AC42" s="69"/>
      <c r="AE42" s="109"/>
      <c r="AH42" s="97"/>
      <c r="AI42" s="97"/>
    </row>
    <row r="43" spans="1:37" s="18" customFormat="1" ht="15.75" customHeight="1" outlineLevel="1" x14ac:dyDescent="0.25">
      <c r="A43" s="70"/>
      <c r="B43" s="71"/>
      <c r="C43" s="35"/>
      <c r="D43" s="246"/>
      <c r="E43" s="42"/>
      <c r="F43" s="248"/>
      <c r="G43" s="248"/>
      <c r="H43" s="56" t="s">
        <v>36</v>
      </c>
      <c r="I43" s="280">
        <f>11790.77/1000</f>
        <v>11.79077</v>
      </c>
      <c r="J43" s="249">
        <f t="shared" si="7"/>
        <v>11.79077</v>
      </c>
      <c r="K43" s="147"/>
      <c r="L43" s="147"/>
      <c r="M43" s="147"/>
      <c r="N43" s="147"/>
      <c r="O43" s="147"/>
      <c r="P43" s="147"/>
      <c r="Q43" s="147"/>
      <c r="R43" s="147">
        <f>I43*R42</f>
        <v>0</v>
      </c>
      <c r="S43" s="148">
        <f>$I43*S42</f>
        <v>0</v>
      </c>
      <c r="T43" s="148">
        <f t="shared" ref="T43:AA43" si="14">$I43*T42</f>
        <v>0</v>
      </c>
      <c r="U43" s="148">
        <f t="shared" si="14"/>
        <v>0</v>
      </c>
      <c r="V43" s="148">
        <f t="shared" si="14"/>
        <v>0</v>
      </c>
      <c r="W43" s="148">
        <f t="shared" si="14"/>
        <v>0</v>
      </c>
      <c r="X43" s="148">
        <f t="shared" si="14"/>
        <v>0</v>
      </c>
      <c r="Y43" s="148">
        <f t="shared" si="14"/>
        <v>0</v>
      </c>
      <c r="Z43" s="148">
        <f t="shared" si="14"/>
        <v>11.79077</v>
      </c>
      <c r="AA43" s="148">
        <f t="shared" si="14"/>
        <v>0</v>
      </c>
      <c r="AB43" s="148"/>
      <c r="AC43" s="69"/>
      <c r="AE43" s="109">
        <v>0.23423000000002503</v>
      </c>
      <c r="AH43" s="97">
        <v>7126.4367700000003</v>
      </c>
      <c r="AI43" s="97">
        <f>I43</f>
        <v>11.79077</v>
      </c>
    </row>
    <row r="44" spans="1:37" s="18" customFormat="1" ht="15.75" customHeight="1" outlineLevel="1" x14ac:dyDescent="0.25">
      <c r="A44" s="65">
        <v>9</v>
      </c>
      <c r="B44" s="271" t="s">
        <v>105</v>
      </c>
      <c r="C44" s="42"/>
      <c r="D44" s="67"/>
      <c r="E44" s="42">
        <f t="shared" ref="E44" si="15">DATEDIF(F44,G44,"d")</f>
        <v>29</v>
      </c>
      <c r="F44" s="55">
        <v>44044</v>
      </c>
      <c r="G44" s="68">
        <v>44073</v>
      </c>
      <c r="H44" s="56" t="s">
        <v>37</v>
      </c>
      <c r="I44" s="278">
        <f>SUM(K44:AC44)</f>
        <v>1</v>
      </c>
      <c r="J44" s="278">
        <f t="shared" si="7"/>
        <v>1</v>
      </c>
      <c r="K44" s="50"/>
      <c r="L44" s="50"/>
      <c r="M44" s="50"/>
      <c r="N44" s="50"/>
      <c r="O44" s="269"/>
      <c r="P44" s="269"/>
      <c r="Q44" s="269"/>
      <c r="R44" s="269"/>
      <c r="S44" s="265">
        <v>0</v>
      </c>
      <c r="T44" s="282">
        <v>0</v>
      </c>
      <c r="U44" s="282">
        <v>0</v>
      </c>
      <c r="V44" s="282">
        <v>0</v>
      </c>
      <c r="W44" s="282">
        <v>0</v>
      </c>
      <c r="X44" s="282">
        <v>0</v>
      </c>
      <c r="Y44" s="282">
        <v>0.5</v>
      </c>
      <c r="Z44" s="282">
        <v>0.5</v>
      </c>
      <c r="AA44" s="283"/>
      <c r="AB44" s="283"/>
      <c r="AC44" s="69"/>
      <c r="AE44" s="109"/>
      <c r="AH44" s="97"/>
      <c r="AI44" s="97"/>
    </row>
    <row r="45" spans="1:37" s="18" customFormat="1" ht="15.75" customHeight="1" outlineLevel="1" x14ac:dyDescent="0.25">
      <c r="A45" s="70"/>
      <c r="B45" s="247"/>
      <c r="C45" s="42"/>
      <c r="D45" s="67"/>
      <c r="E45" s="42"/>
      <c r="F45" s="72"/>
      <c r="G45" s="73"/>
      <c r="H45" s="56" t="s">
        <v>36</v>
      </c>
      <c r="I45" s="280">
        <f>2263624.85/1000</f>
        <v>2263.6248500000002</v>
      </c>
      <c r="J45" s="249">
        <f t="shared" si="7"/>
        <v>2263.6248500000002</v>
      </c>
      <c r="K45" s="147"/>
      <c r="L45" s="147"/>
      <c r="M45" s="147"/>
      <c r="N45" s="147"/>
      <c r="O45" s="147"/>
      <c r="P45" s="147"/>
      <c r="Q45" s="147"/>
      <c r="R45" s="147"/>
      <c r="S45" s="150">
        <f>I45*S44</f>
        <v>0</v>
      </c>
      <c r="T45" s="150">
        <f>$I45*T44</f>
        <v>0</v>
      </c>
      <c r="U45" s="150">
        <f t="shared" ref="U45:AA45" si="16">$I45*U44</f>
        <v>0</v>
      </c>
      <c r="V45" s="150">
        <f t="shared" si="16"/>
        <v>0</v>
      </c>
      <c r="W45" s="150">
        <f t="shared" si="16"/>
        <v>0</v>
      </c>
      <c r="X45" s="150">
        <f t="shared" si="16"/>
        <v>0</v>
      </c>
      <c r="Y45" s="150">
        <f t="shared" si="16"/>
        <v>1131.8124250000001</v>
      </c>
      <c r="Z45" s="150">
        <f t="shared" si="16"/>
        <v>1131.8124250000001</v>
      </c>
      <c r="AA45" s="150">
        <f t="shared" si="16"/>
        <v>0</v>
      </c>
      <c r="AB45" s="150"/>
      <c r="AC45" s="69"/>
      <c r="AE45" s="250">
        <v>-8297.56675</v>
      </c>
      <c r="AF45" s="251" t="s">
        <v>38</v>
      </c>
      <c r="AH45" s="97">
        <v>13473.14</v>
      </c>
      <c r="AI45" s="97">
        <f>I45</f>
        <v>2263.6248500000002</v>
      </c>
      <c r="AJ45" s="97"/>
    </row>
    <row r="46" spans="1:37" s="18" customFormat="1" ht="15.75" customHeight="1" outlineLevel="1" x14ac:dyDescent="0.25">
      <c r="A46" s="65">
        <v>10</v>
      </c>
      <c r="B46" s="271" t="s">
        <v>72</v>
      </c>
      <c r="C46" s="35"/>
      <c r="D46" s="246"/>
      <c r="E46" s="42">
        <f t="shared" ref="E46" si="17">DATEDIF(F46,G46,"d")</f>
        <v>29</v>
      </c>
      <c r="F46" s="55">
        <v>44075</v>
      </c>
      <c r="G46" s="55">
        <v>44104</v>
      </c>
      <c r="H46" s="56" t="s">
        <v>37</v>
      </c>
      <c r="I46" s="278">
        <f>SUM(K46:AC46)</f>
        <v>1</v>
      </c>
      <c r="J46" s="278">
        <f t="shared" si="7"/>
        <v>1</v>
      </c>
      <c r="K46" s="50"/>
      <c r="L46" s="50"/>
      <c r="M46" s="50"/>
      <c r="N46" s="50"/>
      <c r="O46" s="269"/>
      <c r="P46" s="269"/>
      <c r="Q46" s="269"/>
      <c r="R46" s="269"/>
      <c r="S46" s="267"/>
      <c r="T46" s="282">
        <v>0</v>
      </c>
      <c r="U46" s="282">
        <v>0</v>
      </c>
      <c r="V46" s="282">
        <v>0</v>
      </c>
      <c r="W46" s="282">
        <v>0</v>
      </c>
      <c r="X46" s="282">
        <v>0</v>
      </c>
      <c r="Y46" s="282">
        <v>0.5</v>
      </c>
      <c r="Z46" s="282">
        <v>0.5</v>
      </c>
      <c r="AA46" s="282">
        <v>0</v>
      </c>
      <c r="AB46" s="282"/>
      <c r="AC46" s="69"/>
      <c r="AE46" s="117"/>
      <c r="AH46" s="97"/>
    </row>
    <row r="47" spans="1:37" s="18" customFormat="1" ht="15.75" customHeight="1" outlineLevel="1" x14ac:dyDescent="0.25">
      <c r="A47" s="70"/>
      <c r="B47" s="247"/>
      <c r="C47" s="35"/>
      <c r="D47" s="246"/>
      <c r="E47" s="42"/>
      <c r="F47" s="248"/>
      <c r="G47" s="248"/>
      <c r="H47" s="56" t="s">
        <v>36</v>
      </c>
      <c r="I47" s="280">
        <f>140958.91/1000+46109.3/1000</f>
        <v>187.06821000000002</v>
      </c>
      <c r="J47" s="249">
        <f t="shared" si="7"/>
        <v>187.06821000000002</v>
      </c>
      <c r="K47" s="147"/>
      <c r="L47" s="147"/>
      <c r="M47" s="147"/>
      <c r="N47" s="147"/>
      <c r="O47" s="147"/>
      <c r="P47" s="147"/>
      <c r="Q47" s="147"/>
      <c r="R47" s="147"/>
      <c r="S47" s="148"/>
      <c r="T47" s="148">
        <f>$I47*T46</f>
        <v>0</v>
      </c>
      <c r="U47" s="148">
        <f t="shared" ref="U47:Z47" si="18">$I47*U46</f>
        <v>0</v>
      </c>
      <c r="V47" s="148">
        <f t="shared" si="18"/>
        <v>0</v>
      </c>
      <c r="W47" s="148">
        <f t="shared" si="18"/>
        <v>0</v>
      </c>
      <c r="X47" s="148">
        <f t="shared" si="18"/>
        <v>0</v>
      </c>
      <c r="Y47" s="148">
        <f t="shared" si="18"/>
        <v>93.534105000000011</v>
      </c>
      <c r="Z47" s="148">
        <f t="shared" si="18"/>
        <v>93.534105000000011</v>
      </c>
      <c r="AA47" s="148"/>
      <c r="AB47" s="148"/>
      <c r="AC47" s="69"/>
      <c r="AE47" s="109">
        <v>109.95413999999982</v>
      </c>
      <c r="AF47" s="97" t="e">
        <f>#REF!+#REF!+#REF!</f>
        <v>#REF!</v>
      </c>
      <c r="AH47" s="97">
        <v>6899.9044400000002</v>
      </c>
      <c r="AI47" s="97">
        <f>I47</f>
        <v>187.06821000000002</v>
      </c>
    </row>
    <row r="48" spans="1:37" s="18" customFormat="1" ht="15.75" customHeight="1" outlineLevel="1" x14ac:dyDescent="0.25">
      <c r="A48" s="65">
        <v>11</v>
      </c>
      <c r="B48" s="271" t="s">
        <v>73</v>
      </c>
      <c r="C48" s="35"/>
      <c r="D48" s="246"/>
      <c r="E48" s="42">
        <f t="shared" ref="E48" si="19">DATEDIF(F48,G48,"d")</f>
        <v>29</v>
      </c>
      <c r="F48" s="55">
        <v>44105</v>
      </c>
      <c r="G48" s="55">
        <v>44134</v>
      </c>
      <c r="H48" s="56" t="s">
        <v>37</v>
      </c>
      <c r="I48" s="278">
        <f>SUM(K48:AC48)</f>
        <v>1</v>
      </c>
      <c r="J48" s="278">
        <f t="shared" si="7"/>
        <v>1</v>
      </c>
      <c r="K48" s="50"/>
      <c r="L48" s="50"/>
      <c r="M48" s="50"/>
      <c r="N48" s="50"/>
      <c r="O48" s="269"/>
      <c r="P48" s="269"/>
      <c r="Q48" s="269"/>
      <c r="R48" s="269"/>
      <c r="S48" s="267"/>
      <c r="T48" s="267"/>
      <c r="U48" s="282">
        <v>0</v>
      </c>
      <c r="V48" s="282">
        <v>0</v>
      </c>
      <c r="W48" s="282">
        <v>0</v>
      </c>
      <c r="X48" s="282">
        <v>0</v>
      </c>
      <c r="Y48" s="282">
        <v>0.5</v>
      </c>
      <c r="Z48" s="282">
        <v>0.5</v>
      </c>
      <c r="AA48" s="282">
        <v>0</v>
      </c>
      <c r="AB48" s="282"/>
      <c r="AC48" s="69"/>
      <c r="AE48" s="109"/>
      <c r="AH48" s="97"/>
      <c r="AI48" s="97"/>
    </row>
    <row r="49" spans="1:36" s="18" customFormat="1" ht="15.75" customHeight="1" outlineLevel="1" x14ac:dyDescent="0.25">
      <c r="A49" s="70"/>
      <c r="B49" s="71"/>
      <c r="C49" s="35"/>
      <c r="D49" s="246"/>
      <c r="E49" s="42"/>
      <c r="F49" s="248"/>
      <c r="G49" s="248"/>
      <c r="H49" s="56" t="s">
        <v>36</v>
      </c>
      <c r="I49" s="280">
        <f>181208.09/1000</f>
        <v>181.20809</v>
      </c>
      <c r="J49" s="249">
        <f t="shared" si="7"/>
        <v>181.20809</v>
      </c>
      <c r="K49" s="147"/>
      <c r="L49" s="147"/>
      <c r="M49" s="147"/>
      <c r="N49" s="147"/>
      <c r="O49" s="147"/>
      <c r="P49" s="147"/>
      <c r="Q49" s="147"/>
      <c r="R49" s="147"/>
      <c r="S49" s="148"/>
      <c r="T49" s="148"/>
      <c r="U49" s="148">
        <f>$I49*U48</f>
        <v>0</v>
      </c>
      <c r="V49" s="148">
        <f t="shared" ref="V49:AA49" si="20">$I49*V48</f>
        <v>0</v>
      </c>
      <c r="W49" s="148">
        <f t="shared" si="20"/>
        <v>0</v>
      </c>
      <c r="X49" s="148">
        <f t="shared" si="20"/>
        <v>0</v>
      </c>
      <c r="Y49" s="148">
        <f t="shared" si="20"/>
        <v>90.604044999999999</v>
      </c>
      <c r="Z49" s="148">
        <f t="shared" si="20"/>
        <v>90.604044999999999</v>
      </c>
      <c r="AA49" s="148">
        <f t="shared" si="20"/>
        <v>0</v>
      </c>
      <c r="AB49" s="148"/>
      <c r="AC49" s="69"/>
      <c r="AE49" s="109">
        <v>0.23423000000002503</v>
      </c>
      <c r="AH49" s="97">
        <v>7126.4367700000003</v>
      </c>
      <c r="AI49" s="97">
        <f>I49</f>
        <v>181.20809</v>
      </c>
    </row>
    <row r="50" spans="1:36" ht="18.75" customHeight="1" x14ac:dyDescent="0.25">
      <c r="A50" s="34"/>
      <c r="B50" s="284" t="s">
        <v>104</v>
      </c>
      <c r="C50" s="42"/>
      <c r="D50" s="67"/>
      <c r="E50" s="42"/>
      <c r="F50" s="77"/>
      <c r="G50" s="56"/>
      <c r="H50" s="56"/>
      <c r="I50" s="78"/>
      <c r="J50" s="78">
        <f t="shared" si="7"/>
        <v>0</v>
      </c>
      <c r="K50" s="74"/>
      <c r="L50" s="74"/>
      <c r="M50" s="50"/>
      <c r="N50" s="50"/>
      <c r="O50" s="50"/>
      <c r="P50" s="50"/>
      <c r="Q50" s="50"/>
      <c r="R50" s="50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3"/>
      <c r="AE50" s="64"/>
      <c r="AH50" s="21"/>
      <c r="AI50" s="21"/>
    </row>
    <row r="51" spans="1:36" ht="15.75" customHeight="1" outlineLevel="1" x14ac:dyDescent="0.25">
      <c r="A51" s="79" t="s">
        <v>93</v>
      </c>
      <c r="B51" s="534" t="s">
        <v>92</v>
      </c>
      <c r="C51" s="38"/>
      <c r="D51" s="80"/>
      <c r="E51" s="38">
        <f t="shared" ref="E51" si="21">DATEDIF(F51,G51,"d")</f>
        <v>39</v>
      </c>
      <c r="F51" s="81">
        <v>44075</v>
      </c>
      <c r="G51" s="81">
        <v>44114</v>
      </c>
      <c r="H51" s="56" t="s">
        <v>37</v>
      </c>
      <c r="I51" s="264">
        <f>SUM(K51:AC51)</f>
        <v>1</v>
      </c>
      <c r="J51" s="285">
        <f t="shared" si="7"/>
        <v>1</v>
      </c>
      <c r="K51" s="74"/>
      <c r="L51" s="74"/>
      <c r="M51" s="50"/>
      <c r="N51" s="50"/>
      <c r="O51" s="50"/>
      <c r="P51" s="50"/>
      <c r="Q51" s="50"/>
      <c r="R51" s="50"/>
      <c r="S51" s="51"/>
      <c r="T51" s="270">
        <v>0</v>
      </c>
      <c r="U51" s="270">
        <v>0</v>
      </c>
      <c r="V51" s="270">
        <v>0</v>
      </c>
      <c r="W51" s="270">
        <v>0</v>
      </c>
      <c r="X51" s="270">
        <v>0</v>
      </c>
      <c r="Y51" s="270">
        <v>0.5</v>
      </c>
      <c r="Z51" s="270">
        <v>0.5</v>
      </c>
      <c r="AA51" s="270">
        <v>0</v>
      </c>
      <c r="AB51" s="270"/>
      <c r="AC51" s="53"/>
      <c r="AE51" s="64"/>
      <c r="AH51" s="21"/>
      <c r="AI51" s="21"/>
    </row>
    <row r="52" spans="1:36" ht="15.75" customHeight="1" outlineLevel="1" x14ac:dyDescent="0.25">
      <c r="A52" s="60"/>
      <c r="B52" s="535"/>
      <c r="C52" s="49"/>
      <c r="D52" s="30"/>
      <c r="E52" s="42"/>
      <c r="F52" s="62"/>
      <c r="G52" s="62"/>
      <c r="H52" s="56" t="s">
        <v>36</v>
      </c>
      <c r="I52" s="286">
        <f>1701346.12/1000</f>
        <v>1701.3461200000002</v>
      </c>
      <c r="J52" s="154">
        <f t="shared" si="7"/>
        <v>1701.3461200000002</v>
      </c>
      <c r="K52" s="147"/>
      <c r="L52" s="147"/>
      <c r="M52" s="147"/>
      <c r="N52" s="147"/>
      <c r="O52" s="147"/>
      <c r="P52" s="147"/>
      <c r="Q52" s="147"/>
      <c r="R52" s="147"/>
      <c r="S52" s="148"/>
      <c r="T52" s="148">
        <f>$I52*T51</f>
        <v>0</v>
      </c>
      <c r="U52" s="148">
        <f t="shared" ref="U52:AA52" si="22">$I52*U51</f>
        <v>0</v>
      </c>
      <c r="V52" s="148">
        <f t="shared" si="22"/>
        <v>0</v>
      </c>
      <c r="W52" s="148">
        <f t="shared" si="22"/>
        <v>0</v>
      </c>
      <c r="X52" s="148">
        <f t="shared" si="22"/>
        <v>0</v>
      </c>
      <c r="Y52" s="148">
        <f t="shared" si="22"/>
        <v>850.67306000000008</v>
      </c>
      <c r="Z52" s="148">
        <f t="shared" si="22"/>
        <v>850.67306000000008</v>
      </c>
      <c r="AA52" s="148">
        <f t="shared" si="22"/>
        <v>0</v>
      </c>
      <c r="AB52" s="148"/>
      <c r="AC52" s="53"/>
      <c r="AE52" s="64">
        <v>109.95413999999982</v>
      </c>
      <c r="AF52" s="21" t="e">
        <f>#REF!+#REF!+#REF!</f>
        <v>#REF!</v>
      </c>
      <c r="AH52" s="21">
        <v>6899.9044400000002</v>
      </c>
      <c r="AI52" s="21">
        <f>I52</f>
        <v>1701.3461200000002</v>
      </c>
    </row>
    <row r="53" spans="1:36" s="18" customFormat="1" ht="18.75" customHeight="1" outlineLevel="1" x14ac:dyDescent="0.25">
      <c r="A53" s="92" t="s">
        <v>95</v>
      </c>
      <c r="B53" s="536" t="s">
        <v>96</v>
      </c>
      <c r="C53" s="42"/>
      <c r="D53" s="67"/>
      <c r="E53" s="42">
        <f t="shared" ref="E53" si="23">DATEDIF(F53,G53,"d")</f>
        <v>39</v>
      </c>
      <c r="F53" s="55">
        <v>44075</v>
      </c>
      <c r="G53" s="55">
        <v>44114</v>
      </c>
      <c r="H53" s="56" t="s">
        <v>37</v>
      </c>
      <c r="I53" s="278">
        <f>SUM(K53:AC53)</f>
        <v>1</v>
      </c>
      <c r="J53" s="285">
        <f t="shared" si="7"/>
        <v>1</v>
      </c>
      <c r="K53" s="50"/>
      <c r="L53" s="50"/>
      <c r="M53" s="50"/>
      <c r="N53" s="50"/>
      <c r="O53" s="50"/>
      <c r="P53" s="50"/>
      <c r="Q53" s="50"/>
      <c r="R53" s="50"/>
      <c r="S53" s="51"/>
      <c r="T53" s="282">
        <v>0</v>
      </c>
      <c r="U53" s="282">
        <v>0</v>
      </c>
      <c r="V53" s="282">
        <v>0</v>
      </c>
      <c r="W53" s="282">
        <v>0</v>
      </c>
      <c r="X53" s="282">
        <v>0</v>
      </c>
      <c r="Y53" s="282">
        <v>0.5</v>
      </c>
      <c r="Z53" s="282">
        <v>0.5</v>
      </c>
      <c r="AA53" s="282">
        <v>0</v>
      </c>
      <c r="AB53" s="282"/>
      <c r="AC53" s="69"/>
      <c r="AE53" s="109"/>
      <c r="AH53" s="97"/>
      <c r="AI53" s="97"/>
    </row>
    <row r="54" spans="1:36" s="18" customFormat="1" ht="20.25" customHeight="1" outlineLevel="1" x14ac:dyDescent="0.25">
      <c r="A54" s="70"/>
      <c r="B54" s="537"/>
      <c r="C54" s="35"/>
      <c r="D54" s="246"/>
      <c r="E54" s="42"/>
      <c r="F54" s="248"/>
      <c r="G54" s="248"/>
      <c r="H54" s="56" t="s">
        <v>36</v>
      </c>
      <c r="I54" s="287">
        <f>138943.6/1000</f>
        <v>138.9436</v>
      </c>
      <c r="J54" s="154">
        <f t="shared" si="7"/>
        <v>138.9436</v>
      </c>
      <c r="K54" s="147"/>
      <c r="L54" s="147"/>
      <c r="M54" s="147"/>
      <c r="N54" s="147"/>
      <c r="O54" s="147"/>
      <c r="P54" s="147"/>
      <c r="Q54" s="147"/>
      <c r="R54" s="147"/>
      <c r="S54" s="148"/>
      <c r="T54" s="148">
        <f>$I54*T53</f>
        <v>0</v>
      </c>
      <c r="U54" s="148">
        <f t="shared" ref="U54:AA54" si="24">$I54*U53</f>
        <v>0</v>
      </c>
      <c r="V54" s="148">
        <f t="shared" si="24"/>
        <v>0</v>
      </c>
      <c r="W54" s="148">
        <f t="shared" si="24"/>
        <v>0</v>
      </c>
      <c r="X54" s="148">
        <f t="shared" si="24"/>
        <v>0</v>
      </c>
      <c r="Y54" s="148">
        <f t="shared" si="24"/>
        <v>69.471800000000002</v>
      </c>
      <c r="Z54" s="148">
        <f t="shared" si="24"/>
        <v>69.471800000000002</v>
      </c>
      <c r="AA54" s="148">
        <f t="shared" si="24"/>
        <v>0</v>
      </c>
      <c r="AB54" s="148"/>
      <c r="AC54" s="69"/>
      <c r="AE54" s="109">
        <v>109.95413999999982</v>
      </c>
      <c r="AF54" s="97" t="e">
        <f>#REF!+#REF!+#REF!</f>
        <v>#REF!</v>
      </c>
      <c r="AH54" s="97">
        <v>6899.9044400000002</v>
      </c>
      <c r="AI54" s="97">
        <f>I54</f>
        <v>138.9436</v>
      </c>
    </row>
    <row r="55" spans="1:36" ht="18.75" customHeight="1" x14ac:dyDescent="0.25">
      <c r="A55" s="34" t="s">
        <v>76</v>
      </c>
      <c r="B55" s="284" t="s">
        <v>74</v>
      </c>
      <c r="C55" s="42"/>
      <c r="D55" s="67"/>
      <c r="E55" s="42"/>
      <c r="F55" s="77"/>
      <c r="G55" s="56"/>
      <c r="H55" s="56"/>
      <c r="I55" s="78"/>
      <c r="J55" s="78">
        <f t="shared" si="7"/>
        <v>0</v>
      </c>
      <c r="K55" s="74"/>
      <c r="L55" s="74"/>
      <c r="M55" s="50"/>
      <c r="N55" s="50"/>
      <c r="O55" s="50"/>
      <c r="P55" s="50"/>
      <c r="Q55" s="50"/>
      <c r="R55" s="50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3"/>
      <c r="AE55" s="64"/>
      <c r="AH55" s="21"/>
      <c r="AI55" s="21"/>
    </row>
    <row r="56" spans="1:36" ht="15.75" customHeight="1" x14ac:dyDescent="0.25">
      <c r="A56" s="54"/>
      <c r="B56" s="419" t="s">
        <v>75</v>
      </c>
      <c r="C56" s="288"/>
      <c r="D56" s="289"/>
      <c r="E56" s="290">
        <f t="shared" ref="E56" si="25">DATEDIF(F56,G56,"d")</f>
        <v>59</v>
      </c>
      <c r="F56" s="291">
        <v>43922</v>
      </c>
      <c r="G56" s="291">
        <v>43981</v>
      </c>
      <c r="H56" s="292" t="s">
        <v>37</v>
      </c>
      <c r="I56" s="293">
        <f>SUM(K56:AC56)</f>
        <v>1</v>
      </c>
      <c r="J56" s="264">
        <f t="shared" si="7"/>
        <v>1</v>
      </c>
      <c r="K56" s="50"/>
      <c r="L56" s="50"/>
      <c r="M56" s="50"/>
      <c r="N56" s="50"/>
      <c r="O56" s="265">
        <v>0</v>
      </c>
      <c r="P56" s="265">
        <f>100%*0</f>
        <v>0</v>
      </c>
      <c r="Q56" s="265">
        <v>0</v>
      </c>
      <c r="R56" s="265">
        <v>0</v>
      </c>
      <c r="S56" s="265">
        <v>0</v>
      </c>
      <c r="T56" s="270">
        <v>0.5</v>
      </c>
      <c r="U56" s="270">
        <v>0</v>
      </c>
      <c r="V56" s="270">
        <v>0</v>
      </c>
      <c r="W56" s="270">
        <v>0</v>
      </c>
      <c r="X56" s="270">
        <v>0</v>
      </c>
      <c r="Y56" s="270">
        <v>0</v>
      </c>
      <c r="Z56" s="270">
        <v>0</v>
      </c>
      <c r="AA56" s="270">
        <v>0.5</v>
      </c>
      <c r="AB56" s="270"/>
      <c r="AC56" s="53"/>
      <c r="AE56" s="64"/>
      <c r="AH56" s="21"/>
      <c r="AI56" s="21"/>
    </row>
    <row r="57" spans="1:36" ht="15.75" customHeight="1" x14ac:dyDescent="0.25">
      <c r="A57" s="60"/>
      <c r="B57" s="83"/>
      <c r="C57" s="288"/>
      <c r="D57" s="289"/>
      <c r="E57" s="290"/>
      <c r="F57" s="294"/>
      <c r="G57" s="294"/>
      <c r="H57" s="292" t="s">
        <v>36</v>
      </c>
      <c r="I57" s="268">
        <f>3430155.89/1000+287459.24/1000+116362.95/1000+51631.73/1000+16529.31/1000</f>
        <v>3902.1391200000003</v>
      </c>
      <c r="J57" s="153">
        <f t="shared" si="7"/>
        <v>3902.1391200000003</v>
      </c>
      <c r="K57" s="147"/>
      <c r="L57" s="147"/>
      <c r="M57" s="147"/>
      <c r="N57" s="147"/>
      <c r="O57" s="147">
        <f>I57*O56</f>
        <v>0</v>
      </c>
      <c r="P57" s="147">
        <f>I57*P56</f>
        <v>0</v>
      </c>
      <c r="Q57" s="147">
        <f>I57*Q56</f>
        <v>0</v>
      </c>
      <c r="R57" s="147">
        <f>I57*R56</f>
        <v>0</v>
      </c>
      <c r="S57" s="148">
        <f>$I57*S56</f>
        <v>0</v>
      </c>
      <c r="T57" s="148">
        <f t="shared" ref="T57:AA57" si="26">$I57*T56</f>
        <v>1951.0695600000001</v>
      </c>
      <c r="U57" s="148">
        <f t="shared" si="26"/>
        <v>0</v>
      </c>
      <c r="V57" s="148">
        <f t="shared" si="26"/>
        <v>0</v>
      </c>
      <c r="W57" s="148">
        <f t="shared" si="26"/>
        <v>0</v>
      </c>
      <c r="X57" s="148">
        <f t="shared" si="26"/>
        <v>0</v>
      </c>
      <c r="Y57" s="148">
        <f t="shared" si="26"/>
        <v>0</v>
      </c>
      <c r="Z57" s="148">
        <f t="shared" si="26"/>
        <v>0</v>
      </c>
      <c r="AA57" s="148">
        <f t="shared" si="26"/>
        <v>1951.0695600000001</v>
      </c>
      <c r="AB57" s="148"/>
      <c r="AC57" s="53"/>
      <c r="AE57" s="64">
        <v>0.23423000000002503</v>
      </c>
      <c r="AH57" s="21">
        <v>7126.4367700000003</v>
      </c>
      <c r="AI57" s="21">
        <f>I57</f>
        <v>3902.1391200000003</v>
      </c>
    </row>
    <row r="58" spans="1:36" ht="18.75" customHeight="1" x14ac:dyDescent="0.25">
      <c r="A58" s="34"/>
      <c r="B58" s="284" t="s">
        <v>77</v>
      </c>
      <c r="C58" s="42"/>
      <c r="D58" s="67"/>
      <c r="E58" s="42"/>
      <c r="F58" s="77"/>
      <c r="G58" s="56"/>
      <c r="H58" s="56"/>
      <c r="I58" s="78"/>
      <c r="J58" s="78">
        <f t="shared" si="7"/>
        <v>0</v>
      </c>
      <c r="K58" s="74"/>
      <c r="L58" s="74"/>
      <c r="M58" s="50"/>
      <c r="N58" s="50"/>
      <c r="O58" s="50"/>
      <c r="P58" s="50"/>
      <c r="Q58" s="50"/>
      <c r="R58" s="50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3"/>
      <c r="AE58" s="64"/>
      <c r="AH58" s="21"/>
      <c r="AI58" s="21"/>
    </row>
    <row r="59" spans="1:36" ht="15.75" customHeight="1" x14ac:dyDescent="0.25">
      <c r="A59" s="79" t="s">
        <v>78</v>
      </c>
      <c r="B59" s="419" t="s">
        <v>80</v>
      </c>
      <c r="C59" s="38"/>
      <c r="D59" s="80"/>
      <c r="E59" s="38">
        <f t="shared" si="3"/>
        <v>20</v>
      </c>
      <c r="F59" s="81">
        <v>44114</v>
      </c>
      <c r="G59" s="81">
        <v>44134</v>
      </c>
      <c r="H59" s="56" t="s">
        <v>37</v>
      </c>
      <c r="I59" s="264">
        <f>SUM(K59:AC59)</f>
        <v>1</v>
      </c>
      <c r="J59" s="264">
        <f t="shared" si="7"/>
        <v>1</v>
      </c>
      <c r="K59" s="74"/>
      <c r="L59" s="74"/>
      <c r="M59" s="50"/>
      <c r="N59" s="50"/>
      <c r="O59" s="50"/>
      <c r="P59" s="50"/>
      <c r="Q59" s="50"/>
      <c r="R59" s="50"/>
      <c r="S59" s="51"/>
      <c r="T59" s="51"/>
      <c r="U59" s="270">
        <v>0</v>
      </c>
      <c r="V59" s="270">
        <v>0</v>
      </c>
      <c r="W59" s="270">
        <v>0</v>
      </c>
      <c r="X59" s="270">
        <v>0</v>
      </c>
      <c r="Y59" s="270">
        <v>0</v>
      </c>
      <c r="Z59" s="270">
        <v>0</v>
      </c>
      <c r="AA59" s="270">
        <v>1</v>
      </c>
      <c r="AB59" s="270"/>
      <c r="AC59" s="53"/>
      <c r="AE59" s="64"/>
      <c r="AH59" s="21"/>
      <c r="AI59" s="21"/>
    </row>
    <row r="60" spans="1:36" ht="15.75" customHeight="1" x14ac:dyDescent="0.25">
      <c r="A60" s="82"/>
      <c r="B60" s="83"/>
      <c r="C60" s="38"/>
      <c r="D60" s="80"/>
      <c r="E60" s="38"/>
      <c r="F60" s="84"/>
      <c r="G60" s="84"/>
      <c r="H60" s="56" t="s">
        <v>36</v>
      </c>
      <c r="I60" s="295">
        <f>454309.28/1000</f>
        <v>454.30928</v>
      </c>
      <c r="J60" s="153">
        <f t="shared" si="7"/>
        <v>454.30928</v>
      </c>
      <c r="K60" s="149"/>
      <c r="L60" s="149"/>
      <c r="M60" s="147"/>
      <c r="N60" s="147"/>
      <c r="O60" s="147"/>
      <c r="P60" s="147"/>
      <c r="Q60" s="147"/>
      <c r="R60" s="147"/>
      <c r="S60" s="148"/>
      <c r="T60" s="148"/>
      <c r="U60" s="148">
        <f>$I60*U59</f>
        <v>0</v>
      </c>
      <c r="V60" s="148">
        <f t="shared" ref="V60:AA60" si="27">$I60*V59</f>
        <v>0</v>
      </c>
      <c r="W60" s="148">
        <f t="shared" si="27"/>
        <v>0</v>
      </c>
      <c r="X60" s="148">
        <f t="shared" si="27"/>
        <v>0</v>
      </c>
      <c r="Y60" s="148">
        <f t="shared" si="27"/>
        <v>0</v>
      </c>
      <c r="Z60" s="148">
        <f t="shared" si="27"/>
        <v>0</v>
      </c>
      <c r="AA60" s="148">
        <f t="shared" si="27"/>
        <v>454.30928</v>
      </c>
      <c r="AB60" s="148"/>
      <c r="AC60" s="53"/>
      <c r="AE60" s="64"/>
      <c r="AH60" s="21"/>
      <c r="AI60" s="21"/>
    </row>
    <row r="61" spans="1:36" s="18" customFormat="1" ht="15.75" customHeight="1" x14ac:dyDescent="0.25">
      <c r="A61" s="79" t="s">
        <v>79</v>
      </c>
      <c r="B61" s="419" t="s">
        <v>81</v>
      </c>
      <c r="C61" s="42"/>
      <c r="D61" s="67"/>
      <c r="E61" s="42"/>
      <c r="F61" s="55">
        <v>44105</v>
      </c>
      <c r="G61" s="68">
        <v>44134</v>
      </c>
      <c r="H61" s="56" t="s">
        <v>37</v>
      </c>
      <c r="I61" s="264">
        <f>SUM(K61:AC61)</f>
        <v>1</v>
      </c>
      <c r="J61" s="264">
        <f t="shared" si="7"/>
        <v>1</v>
      </c>
      <c r="K61" s="50"/>
      <c r="L61" s="50"/>
      <c r="M61" s="50"/>
      <c r="N61" s="50"/>
      <c r="O61" s="50"/>
      <c r="P61" s="50"/>
      <c r="Q61" s="269"/>
      <c r="R61" s="269"/>
      <c r="S61" s="267"/>
      <c r="T61" s="270">
        <v>0</v>
      </c>
      <c r="U61" s="270">
        <v>0</v>
      </c>
      <c r="V61" s="270">
        <v>0</v>
      </c>
      <c r="W61" s="270">
        <v>0</v>
      </c>
      <c r="X61" s="270">
        <v>0</v>
      </c>
      <c r="Y61" s="270">
        <v>0</v>
      </c>
      <c r="Z61" s="270">
        <v>0</v>
      </c>
      <c r="AA61" s="270">
        <v>1</v>
      </c>
      <c r="AB61" s="270"/>
      <c r="AC61" s="69"/>
      <c r="AE61" s="64"/>
      <c r="AH61" s="21"/>
      <c r="AI61" s="21"/>
    </row>
    <row r="62" spans="1:36" ht="15.75" customHeight="1" x14ac:dyDescent="0.25">
      <c r="A62" s="85"/>
      <c r="B62" s="61"/>
      <c r="C62" s="42"/>
      <c r="D62" s="42"/>
      <c r="E62" s="38">
        <f>DATEDIF(F61,G61,"d")</f>
        <v>29</v>
      </c>
      <c r="F62" s="62"/>
      <c r="G62" s="62"/>
      <c r="H62" s="56" t="s">
        <v>36</v>
      </c>
      <c r="I62" s="295">
        <f>398335.01/1000+129861.16/1000+4687.01/1000+157382.44/1000+351706.29/1000</f>
        <v>1041.97191</v>
      </c>
      <c r="J62" s="153">
        <f t="shared" si="7"/>
        <v>1041.97191</v>
      </c>
      <c r="K62" s="149"/>
      <c r="L62" s="149"/>
      <c r="M62" s="147"/>
      <c r="N62" s="147"/>
      <c r="O62" s="147"/>
      <c r="P62" s="147"/>
      <c r="Q62" s="151"/>
      <c r="R62" s="151"/>
      <c r="S62" s="150"/>
      <c r="T62" s="150">
        <f>$I62*T61</f>
        <v>0</v>
      </c>
      <c r="U62" s="150">
        <f t="shared" ref="U62:AA62" si="28">$I62*U61</f>
        <v>0</v>
      </c>
      <c r="V62" s="150">
        <f t="shared" si="28"/>
        <v>0</v>
      </c>
      <c r="W62" s="150">
        <f t="shared" si="28"/>
        <v>0</v>
      </c>
      <c r="X62" s="150">
        <f t="shared" si="28"/>
        <v>0</v>
      </c>
      <c r="Y62" s="150">
        <f t="shared" si="28"/>
        <v>0</v>
      </c>
      <c r="Z62" s="150">
        <f t="shared" si="28"/>
        <v>0</v>
      </c>
      <c r="AA62" s="150">
        <f t="shared" si="28"/>
        <v>1041.97191</v>
      </c>
      <c r="AB62" s="150"/>
      <c r="AC62" s="53"/>
      <c r="AE62" s="64">
        <v>-14231.1149999999</v>
      </c>
      <c r="AH62" s="21">
        <f>379546.72</f>
        <v>379546.72</v>
      </c>
      <c r="AI62" s="21">
        <f>I62</f>
        <v>1041.97191</v>
      </c>
      <c r="AJ62" s="21"/>
    </row>
    <row r="63" spans="1:36" s="18" customFormat="1" ht="22.5" customHeight="1" x14ac:dyDescent="0.25">
      <c r="A63" s="79" t="s">
        <v>98</v>
      </c>
      <c r="B63" s="534" t="s">
        <v>101</v>
      </c>
      <c r="C63" s="42"/>
      <c r="D63" s="67"/>
      <c r="E63" s="42"/>
      <c r="F63" s="55">
        <v>44105</v>
      </c>
      <c r="G63" s="68">
        <v>44134</v>
      </c>
      <c r="H63" s="56" t="s">
        <v>37</v>
      </c>
      <c r="I63" s="264">
        <f>SUM(K63:AC63)</f>
        <v>1</v>
      </c>
      <c r="J63" s="264">
        <f t="shared" si="7"/>
        <v>1</v>
      </c>
      <c r="K63" s="74"/>
      <c r="L63" s="50"/>
      <c r="M63" s="50"/>
      <c r="N63" s="50"/>
      <c r="O63" s="50"/>
      <c r="P63" s="50"/>
      <c r="Q63" s="269"/>
      <c r="R63" s="269"/>
      <c r="S63" s="267"/>
      <c r="T63" s="270">
        <v>0</v>
      </c>
      <c r="U63" s="270">
        <v>0</v>
      </c>
      <c r="V63" s="270">
        <v>0</v>
      </c>
      <c r="W63" s="270">
        <v>0</v>
      </c>
      <c r="X63" s="270">
        <v>0</v>
      </c>
      <c r="Y63" s="270">
        <v>0</v>
      </c>
      <c r="Z63" s="270">
        <v>0</v>
      </c>
      <c r="AA63" s="270">
        <v>1</v>
      </c>
      <c r="AB63" s="270"/>
      <c r="AC63" s="69"/>
      <c r="AE63" s="64"/>
      <c r="AH63" s="21"/>
      <c r="AI63" s="21"/>
    </row>
    <row r="64" spans="1:36" ht="20.25" customHeight="1" x14ac:dyDescent="0.25">
      <c r="A64" s="85"/>
      <c r="B64" s="535"/>
      <c r="C64" s="42"/>
      <c r="D64" s="42"/>
      <c r="E64" s="38">
        <f>DATEDIF(F63,G63,"d")</f>
        <v>29</v>
      </c>
      <c r="F64" s="62"/>
      <c r="G64" s="62"/>
      <c r="H64" s="56" t="s">
        <v>36</v>
      </c>
      <c r="I64" s="163">
        <f>I23*651.82972*1.051*1.05*0</f>
        <v>0</v>
      </c>
      <c r="J64" s="153">
        <f t="shared" si="7"/>
        <v>0</v>
      </c>
      <c r="K64" s="149"/>
      <c r="L64" s="149"/>
      <c r="M64" s="147"/>
      <c r="N64" s="147"/>
      <c r="O64" s="147"/>
      <c r="P64" s="147"/>
      <c r="Q64" s="151"/>
      <c r="R64" s="151"/>
      <c r="S64" s="150"/>
      <c r="T64" s="150">
        <f>$I64*T63</f>
        <v>0</v>
      </c>
      <c r="U64" s="150">
        <f t="shared" ref="U64:AA64" si="29">$I64*U63</f>
        <v>0</v>
      </c>
      <c r="V64" s="150">
        <f t="shared" si="29"/>
        <v>0</v>
      </c>
      <c r="W64" s="150">
        <f t="shared" si="29"/>
        <v>0</v>
      </c>
      <c r="X64" s="150">
        <f t="shared" si="29"/>
        <v>0</v>
      </c>
      <c r="Y64" s="150">
        <f t="shared" si="29"/>
        <v>0</v>
      </c>
      <c r="Z64" s="150">
        <f t="shared" si="29"/>
        <v>0</v>
      </c>
      <c r="AA64" s="150">
        <f t="shared" si="29"/>
        <v>0</v>
      </c>
      <c r="AB64" s="150"/>
      <c r="AC64" s="53"/>
      <c r="AE64" s="64">
        <v>4649.6780199999994</v>
      </c>
      <c r="AH64" s="21">
        <v>11922.421979999999</v>
      </c>
      <c r="AI64" s="21">
        <f>I64</f>
        <v>0</v>
      </c>
      <c r="AJ64" s="21"/>
    </row>
    <row r="65" spans="1:39" s="18" customFormat="1" ht="18.75" customHeight="1" x14ac:dyDescent="0.25">
      <c r="A65" s="79" t="s">
        <v>100</v>
      </c>
      <c r="B65" s="534" t="s">
        <v>103</v>
      </c>
      <c r="C65" s="42"/>
      <c r="D65" s="67"/>
      <c r="E65" s="42"/>
      <c r="F65" s="55">
        <v>44105</v>
      </c>
      <c r="G65" s="68">
        <v>44134</v>
      </c>
      <c r="H65" s="56" t="s">
        <v>37</v>
      </c>
      <c r="I65" s="264">
        <f>SUM(K65:AC65)</f>
        <v>1</v>
      </c>
      <c r="J65" s="264">
        <f t="shared" si="7"/>
        <v>1</v>
      </c>
      <c r="K65" s="74"/>
      <c r="L65" s="50"/>
      <c r="M65" s="50"/>
      <c r="N65" s="50"/>
      <c r="O65" s="50"/>
      <c r="P65" s="50"/>
      <c r="Q65" s="269"/>
      <c r="R65" s="269"/>
      <c r="S65" s="267"/>
      <c r="T65" s="270">
        <v>0</v>
      </c>
      <c r="U65" s="270">
        <v>0</v>
      </c>
      <c r="V65" s="270">
        <v>0</v>
      </c>
      <c r="W65" s="270">
        <v>0</v>
      </c>
      <c r="X65" s="270">
        <v>0</v>
      </c>
      <c r="Y65" s="270">
        <v>0</v>
      </c>
      <c r="Z65" s="270">
        <v>0</v>
      </c>
      <c r="AA65" s="270">
        <v>1</v>
      </c>
      <c r="AB65" s="270"/>
      <c r="AC65" s="69"/>
      <c r="AE65" s="64"/>
      <c r="AH65" s="21"/>
      <c r="AI65" s="21"/>
    </row>
    <row r="66" spans="1:39" ht="18.75" customHeight="1" x14ac:dyDescent="0.25">
      <c r="A66" s="85"/>
      <c r="B66" s="535"/>
      <c r="C66" s="42"/>
      <c r="D66" s="42"/>
      <c r="E66" s="38">
        <f>DATEDIF(F65,G65,"d")</f>
        <v>29</v>
      </c>
      <c r="F66" s="62"/>
      <c r="G66" s="62"/>
      <c r="H66" s="56" t="s">
        <v>36</v>
      </c>
      <c r="I66" s="161">
        <f>I23*508.24753*1.051*1.05*0</f>
        <v>0</v>
      </c>
      <c r="J66" s="153">
        <f t="shared" si="7"/>
        <v>0</v>
      </c>
      <c r="K66" s="149"/>
      <c r="L66" s="149"/>
      <c r="M66" s="147"/>
      <c r="N66" s="147"/>
      <c r="O66" s="147"/>
      <c r="P66" s="147"/>
      <c r="Q66" s="151"/>
      <c r="R66" s="151"/>
      <c r="S66" s="150"/>
      <c r="T66" s="150">
        <f>$I66*T65</f>
        <v>0</v>
      </c>
      <c r="U66" s="150">
        <f t="shared" ref="U66:AA66" si="30">$I66*U65</f>
        <v>0</v>
      </c>
      <c r="V66" s="150">
        <f t="shared" si="30"/>
        <v>0</v>
      </c>
      <c r="W66" s="150">
        <f t="shared" si="30"/>
        <v>0</v>
      </c>
      <c r="X66" s="150">
        <f t="shared" si="30"/>
        <v>0</v>
      </c>
      <c r="Y66" s="150">
        <f t="shared" si="30"/>
        <v>0</v>
      </c>
      <c r="Z66" s="150">
        <f t="shared" si="30"/>
        <v>0</v>
      </c>
      <c r="AA66" s="150">
        <f t="shared" si="30"/>
        <v>0</v>
      </c>
      <c r="AB66" s="150"/>
      <c r="AC66" s="53"/>
      <c r="AE66" s="64">
        <v>4649.6780199999994</v>
      </c>
      <c r="AH66" s="21">
        <v>11922.421979999999</v>
      </c>
      <c r="AI66" s="21">
        <f>I66</f>
        <v>0</v>
      </c>
      <c r="AJ66" s="21"/>
    </row>
    <row r="67" spans="1:39" s="18" customFormat="1" ht="15.75" customHeight="1" x14ac:dyDescent="0.25">
      <c r="A67" s="79" t="s">
        <v>83</v>
      </c>
      <c r="B67" s="419" t="s">
        <v>82</v>
      </c>
      <c r="C67" s="42"/>
      <c r="D67" s="67"/>
      <c r="E67" s="42"/>
      <c r="F67" s="55">
        <v>44105</v>
      </c>
      <c r="G67" s="68">
        <v>44134</v>
      </c>
      <c r="H67" s="56" t="s">
        <v>37</v>
      </c>
      <c r="I67" s="264">
        <f>SUM(K67:AC67)</f>
        <v>1</v>
      </c>
      <c r="J67" s="264">
        <f t="shared" si="7"/>
        <v>1</v>
      </c>
      <c r="K67" s="50"/>
      <c r="L67" s="50"/>
      <c r="M67" s="50"/>
      <c r="N67" s="50"/>
      <c r="O67" s="50"/>
      <c r="P67" s="50"/>
      <c r="Q67" s="269"/>
      <c r="R67" s="269"/>
      <c r="S67" s="267"/>
      <c r="T67" s="267"/>
      <c r="U67" s="270">
        <v>0</v>
      </c>
      <c r="V67" s="270">
        <v>0</v>
      </c>
      <c r="W67" s="270">
        <v>0</v>
      </c>
      <c r="X67" s="270">
        <v>0</v>
      </c>
      <c r="Y67" s="270">
        <v>0</v>
      </c>
      <c r="Z67" s="270">
        <v>0</v>
      </c>
      <c r="AA67" s="270">
        <v>1</v>
      </c>
      <c r="AB67" s="270"/>
      <c r="AC67" s="69"/>
      <c r="AE67" s="64"/>
      <c r="AH67" s="21"/>
      <c r="AI67" s="21"/>
    </row>
    <row r="68" spans="1:39" ht="15.75" customHeight="1" x14ac:dyDescent="0.25">
      <c r="A68" s="85"/>
      <c r="B68" s="61"/>
      <c r="C68" s="42"/>
      <c r="D68" s="42"/>
      <c r="E68" s="38">
        <f>DATEDIF(F67,G67,"d")</f>
        <v>29</v>
      </c>
      <c r="F68" s="62"/>
      <c r="G68" s="62"/>
      <c r="H68" s="56" t="s">
        <v>36</v>
      </c>
      <c r="I68" s="295">
        <f>168253.7/1000+1203601.96/1000</f>
        <v>1371.8556599999999</v>
      </c>
      <c r="J68" s="153">
        <f t="shared" si="7"/>
        <v>1371.8556599999999</v>
      </c>
      <c r="K68" s="149"/>
      <c r="L68" s="149"/>
      <c r="M68" s="147"/>
      <c r="N68" s="147"/>
      <c r="O68" s="147"/>
      <c r="P68" s="147"/>
      <c r="Q68" s="151"/>
      <c r="R68" s="151"/>
      <c r="S68" s="150"/>
      <c r="T68" s="150"/>
      <c r="U68" s="150">
        <f>$I68*U67</f>
        <v>0</v>
      </c>
      <c r="V68" s="150">
        <f t="shared" ref="V68:AA68" si="31">$I68*V67</f>
        <v>0</v>
      </c>
      <c r="W68" s="150">
        <f t="shared" si="31"/>
        <v>0</v>
      </c>
      <c r="X68" s="150">
        <f t="shared" si="31"/>
        <v>0</v>
      </c>
      <c r="Y68" s="150">
        <f t="shared" si="31"/>
        <v>0</v>
      </c>
      <c r="Z68" s="150">
        <f t="shared" si="31"/>
        <v>0</v>
      </c>
      <c r="AA68" s="150">
        <f t="shared" si="31"/>
        <v>1371.8556599999999</v>
      </c>
      <c r="AB68" s="150"/>
      <c r="AC68" s="53"/>
      <c r="AE68" s="64">
        <v>4649.6780199999994</v>
      </c>
      <c r="AH68" s="21">
        <v>11922.421979999999</v>
      </c>
      <c r="AI68" s="21">
        <f>I68</f>
        <v>1371.8556599999999</v>
      </c>
      <c r="AJ68" s="21"/>
    </row>
    <row r="69" spans="1:39" s="18" customFormat="1" ht="15.75" customHeight="1" x14ac:dyDescent="0.25">
      <c r="A69" s="79" t="s">
        <v>106</v>
      </c>
      <c r="B69" s="538" t="s">
        <v>109</v>
      </c>
      <c r="C69" s="42"/>
      <c r="D69" s="67"/>
      <c r="E69" s="42"/>
      <c r="F69" s="55">
        <v>44105</v>
      </c>
      <c r="G69" s="68">
        <v>44134</v>
      </c>
      <c r="H69" s="56" t="s">
        <v>37</v>
      </c>
      <c r="I69" s="264">
        <f>SUM(K69:AC69)</f>
        <v>0.99999999999999967</v>
      </c>
      <c r="J69" s="264">
        <f t="shared" si="7"/>
        <v>0.99999999999999967</v>
      </c>
      <c r="K69" s="50"/>
      <c r="L69" s="50"/>
      <c r="M69" s="50"/>
      <c r="N69" s="50"/>
      <c r="O69" s="265">
        <v>0</v>
      </c>
      <c r="P69" s="272">
        <f>35%*0</f>
        <v>0</v>
      </c>
      <c r="Q69" s="272">
        <v>0</v>
      </c>
      <c r="R69" s="272">
        <v>0</v>
      </c>
      <c r="S69" s="272">
        <v>0</v>
      </c>
      <c r="T69" s="266">
        <f>T70/I70</f>
        <v>0.24070784879418772</v>
      </c>
      <c r="U69" s="266">
        <v>0.10707966234953761</v>
      </c>
      <c r="V69" s="266">
        <v>0.10707966234953761</v>
      </c>
      <c r="W69" s="266">
        <v>0.10707966234953761</v>
      </c>
      <c r="X69" s="266">
        <v>0.10707966234953761</v>
      </c>
      <c r="Y69" s="266">
        <v>0.10707966234953761</v>
      </c>
      <c r="Z69" s="266">
        <v>0.10707966234953761</v>
      </c>
      <c r="AA69" s="266">
        <v>0.11681417710858648</v>
      </c>
      <c r="AB69" s="266"/>
      <c r="AC69" s="69"/>
      <c r="AE69" s="64"/>
      <c r="AH69" s="21"/>
      <c r="AI69" s="21"/>
    </row>
    <row r="70" spans="1:39" ht="24.75" customHeight="1" x14ac:dyDescent="0.25">
      <c r="A70" s="85"/>
      <c r="B70" s="539"/>
      <c r="C70" s="42"/>
      <c r="D70" s="42"/>
      <c r="E70" s="38">
        <f>DATEDIF(F69,G69,"d")</f>
        <v>29</v>
      </c>
      <c r="F70" s="62"/>
      <c r="G70" s="62"/>
      <c r="H70" s="56" t="s">
        <v>36</v>
      </c>
      <c r="I70" s="295">
        <f>5044010.42/1000+421201.83/1000+4472292.57/1000+994.09/1000+73444.78/1000+2620664.04/1000</f>
        <v>12632.60773</v>
      </c>
      <c r="J70" s="153">
        <f t="shared" si="7"/>
        <v>12632.60773</v>
      </c>
      <c r="K70" s="149"/>
      <c r="L70" s="149"/>
      <c r="M70" s="147"/>
      <c r="N70" s="147"/>
      <c r="O70" s="147">
        <f>I70*O69</f>
        <v>0</v>
      </c>
      <c r="P70" s="147">
        <f>I70*P69</f>
        <v>0</v>
      </c>
      <c r="Q70" s="151">
        <f>I70*Q69</f>
        <v>0</v>
      </c>
      <c r="R70" s="151">
        <f>$I70*R69</f>
        <v>0</v>
      </c>
      <c r="S70" s="151">
        <f t="shared" ref="S70" si="32">$I70*S69</f>
        <v>0</v>
      </c>
      <c r="T70" s="151">
        <v>3040.7678313491269</v>
      </c>
      <c r="U70" s="151">
        <f>$I70*U69</f>
        <v>1352.6953703225588</v>
      </c>
      <c r="V70" s="151">
        <f t="shared" ref="V70:AA70" si="33">$I70*V69</f>
        <v>1352.6953703225588</v>
      </c>
      <c r="W70" s="151">
        <f t="shared" si="33"/>
        <v>1352.6953703225588</v>
      </c>
      <c r="X70" s="151">
        <f t="shared" si="33"/>
        <v>1352.6953703225588</v>
      </c>
      <c r="Y70" s="151">
        <f t="shared" si="33"/>
        <v>1352.6953703225588</v>
      </c>
      <c r="Z70" s="151">
        <f t="shared" si="33"/>
        <v>1352.6953703225588</v>
      </c>
      <c r="AA70" s="151">
        <f t="shared" si="33"/>
        <v>1475.6676767155186</v>
      </c>
      <c r="AB70" s="151"/>
      <c r="AC70" s="53"/>
      <c r="AE70" s="64">
        <v>4649.6780199999994</v>
      </c>
      <c r="AH70" s="21">
        <v>11922.421979999999</v>
      </c>
      <c r="AI70" s="21">
        <f>I70</f>
        <v>12632.60773</v>
      </c>
      <c r="AJ70" s="21"/>
    </row>
    <row r="71" spans="1:39" s="18" customFormat="1" ht="21" customHeight="1" x14ac:dyDescent="0.25">
      <c r="A71" s="79" t="s">
        <v>111</v>
      </c>
      <c r="B71" s="419" t="s">
        <v>110</v>
      </c>
      <c r="C71" s="42"/>
      <c r="D71" s="67"/>
      <c r="E71" s="42"/>
      <c r="F71" s="55">
        <v>44105</v>
      </c>
      <c r="G71" s="68">
        <v>44134</v>
      </c>
      <c r="H71" s="56" t="s">
        <v>37</v>
      </c>
      <c r="I71" s="264">
        <f>SUM(K71:AC71)</f>
        <v>1</v>
      </c>
      <c r="J71" s="264">
        <f t="shared" si="7"/>
        <v>1</v>
      </c>
      <c r="K71" s="50"/>
      <c r="L71" s="50"/>
      <c r="M71" s="50"/>
      <c r="N71" s="50"/>
      <c r="O71" s="265">
        <v>0</v>
      </c>
      <c r="P71" s="265">
        <f>20%*0</f>
        <v>0</v>
      </c>
      <c r="Q71" s="265">
        <v>0</v>
      </c>
      <c r="R71" s="265">
        <v>0</v>
      </c>
      <c r="S71" s="272">
        <v>0</v>
      </c>
      <c r="T71" s="266">
        <v>0.22</v>
      </c>
      <c r="U71" s="266">
        <v>0.11</v>
      </c>
      <c r="V71" s="266">
        <v>0.11</v>
      </c>
      <c r="W71" s="266">
        <v>0.11</v>
      </c>
      <c r="X71" s="266">
        <v>0.11</v>
      </c>
      <c r="Y71" s="266">
        <v>0.11</v>
      </c>
      <c r="Z71" s="266">
        <v>0.11</v>
      </c>
      <c r="AA71" s="266">
        <v>0.12</v>
      </c>
      <c r="AB71" s="266"/>
      <c r="AC71" s="53"/>
      <c r="AE71" s="64"/>
      <c r="AH71" s="21"/>
      <c r="AI71" s="21"/>
    </row>
    <row r="72" spans="1:39" ht="15.75" customHeight="1" x14ac:dyDescent="0.25">
      <c r="A72" s="85"/>
      <c r="B72" s="61"/>
      <c r="C72" s="42"/>
      <c r="D72" s="42"/>
      <c r="E72" s="38">
        <f>DATEDIF(F71,G71,"d")</f>
        <v>29</v>
      </c>
      <c r="F72" s="62"/>
      <c r="G72" s="62"/>
      <c r="H72" s="56" t="s">
        <v>36</v>
      </c>
      <c r="I72" s="153">
        <f>5679.18*1.051*1.05*0.5*I23*0</f>
        <v>0</v>
      </c>
      <c r="J72" s="153">
        <f t="shared" si="7"/>
        <v>0</v>
      </c>
      <c r="K72" s="149"/>
      <c r="L72" s="149"/>
      <c r="M72" s="147"/>
      <c r="N72" s="147"/>
      <c r="O72" s="147">
        <f>I72*O71</f>
        <v>0</v>
      </c>
      <c r="P72" s="147">
        <f>I72*P71</f>
        <v>0</v>
      </c>
      <c r="Q72" s="151">
        <f>I72*Q71</f>
        <v>0</v>
      </c>
      <c r="R72" s="151">
        <f>$I72*R71</f>
        <v>0</v>
      </c>
      <c r="S72" s="151">
        <f t="shared" ref="S72:AA72" si="34">$I72*S71</f>
        <v>0</v>
      </c>
      <c r="T72" s="151">
        <f t="shared" si="34"/>
        <v>0</v>
      </c>
      <c r="U72" s="151">
        <f t="shared" si="34"/>
        <v>0</v>
      </c>
      <c r="V72" s="151">
        <f t="shared" si="34"/>
        <v>0</v>
      </c>
      <c r="W72" s="151">
        <f t="shared" si="34"/>
        <v>0</v>
      </c>
      <c r="X72" s="151">
        <f t="shared" si="34"/>
        <v>0</v>
      </c>
      <c r="Y72" s="151">
        <f t="shared" si="34"/>
        <v>0</v>
      </c>
      <c r="Z72" s="151">
        <f t="shared" si="34"/>
        <v>0</v>
      </c>
      <c r="AA72" s="151">
        <f t="shared" si="34"/>
        <v>0</v>
      </c>
      <c r="AB72" s="151"/>
      <c r="AC72" s="53"/>
      <c r="AE72" s="64">
        <v>4649.6780199999994</v>
      </c>
      <c r="AH72" s="21">
        <v>11922.421979999999</v>
      </c>
      <c r="AI72" s="21">
        <f>I72</f>
        <v>0</v>
      </c>
      <c r="AJ72" s="21"/>
    </row>
    <row r="73" spans="1:39" s="18" customFormat="1" ht="28.5" customHeight="1" x14ac:dyDescent="0.25">
      <c r="A73" s="102" t="s">
        <v>56</v>
      </c>
      <c r="B73" s="103" t="s">
        <v>57</v>
      </c>
      <c r="C73" s="104"/>
      <c r="D73" s="104"/>
      <c r="E73" s="105"/>
      <c r="F73" s="106"/>
      <c r="G73" s="107"/>
      <c r="H73" s="108"/>
      <c r="I73" s="86">
        <f>I26+I28+I30+I33+I35+I37+I39+I41+I43+I45+I47+I49+I52+I54+I57+I60+I62+I64+I66+I68+I70+I72</f>
        <v>123391.01120000001</v>
      </c>
      <c r="J73" s="86">
        <f t="shared" ref="J73:AA73" si="35">J26+J28+J30+J33+J35+J37+J39+J41+J43+J45+J47+J49+J52+J54+J57+J60+J62+J64+J66+J68+J70+J72</f>
        <v>123391.01120000001</v>
      </c>
      <c r="K73" s="86">
        <f t="shared" si="35"/>
        <v>0</v>
      </c>
      <c r="L73" s="86">
        <f t="shared" si="35"/>
        <v>0</v>
      </c>
      <c r="M73" s="86">
        <f t="shared" si="35"/>
        <v>0</v>
      </c>
      <c r="N73" s="86"/>
      <c r="O73" s="219">
        <f t="shared" si="35"/>
        <v>0</v>
      </c>
      <c r="P73" s="219">
        <f t="shared" si="35"/>
        <v>0</v>
      </c>
      <c r="Q73" s="238">
        <f t="shared" si="35"/>
        <v>2726.9268400000001</v>
      </c>
      <c r="R73" s="238">
        <f t="shared" si="35"/>
        <v>3603.5332401999999</v>
      </c>
      <c r="S73" s="219">
        <f t="shared" si="35"/>
        <v>0</v>
      </c>
      <c r="T73" s="219">
        <f t="shared" si="35"/>
        <v>35422.57373350831</v>
      </c>
      <c r="U73" s="219">
        <f t="shared" si="35"/>
        <v>14301.091245360985</v>
      </c>
      <c r="V73" s="219">
        <f t="shared" si="35"/>
        <v>11344.749450360985</v>
      </c>
      <c r="W73" s="219">
        <f t="shared" si="35"/>
        <v>11222.503463860985</v>
      </c>
      <c r="X73" s="219">
        <f t="shared" si="35"/>
        <v>13689.955487245592</v>
      </c>
      <c r="Y73" s="219">
        <f t="shared" si="35"/>
        <v>12794.058643271248</v>
      </c>
      <c r="Z73" s="219">
        <f t="shared" si="35"/>
        <v>11990.745009476377</v>
      </c>
      <c r="AA73" s="219">
        <f t="shared" si="35"/>
        <v>6294.8740867155193</v>
      </c>
      <c r="AB73" s="219"/>
      <c r="AC73" s="53"/>
      <c r="AD73" s="97" t="e">
        <f>#REF!+#REF!+#REF!</f>
        <v>#REF!</v>
      </c>
      <c r="AE73" s="109">
        <f>SUM(AE26:AE68)</f>
        <v>-24403.931059999893</v>
      </c>
      <c r="AG73" s="97">
        <f>SUM(R73:V73)-R64-S64</f>
        <v>64671.947669430279</v>
      </c>
      <c r="AH73" s="21" t="e">
        <f>#REF!+#REF!+AH64+AH62+AH30+AH28+AH26</f>
        <v>#REF!</v>
      </c>
      <c r="AI73" s="21" t="e">
        <f>#REF!+#REF!+AI64+AI62+AI30+AI28+AI26</f>
        <v>#REF!</v>
      </c>
      <c r="AJ73" s="21"/>
      <c r="AK73" s="235">
        <f>W73+X73+Y73+Z73+AA73</f>
        <v>55992.136690569729</v>
      </c>
    </row>
    <row r="74" spans="1:39" s="18" customFormat="1" ht="37.5" x14ac:dyDescent="0.25">
      <c r="A74" s="87"/>
      <c r="B74" s="110" t="s">
        <v>134</v>
      </c>
      <c r="C74" s="111"/>
      <c r="D74" s="111"/>
      <c r="E74" s="112"/>
      <c r="F74" s="77"/>
      <c r="G74" s="56"/>
      <c r="H74" s="113"/>
      <c r="I74" s="114">
        <f>K74+L74+M74+O74+P74+Q74+R74+S74+T74+U74+V74+AC74</f>
        <v>0</v>
      </c>
      <c r="J74" s="153"/>
      <c r="K74" s="115"/>
      <c r="L74" s="50">
        <v>0</v>
      </c>
      <c r="M74" s="50"/>
      <c r="N74" s="50"/>
      <c r="O74" s="50">
        <v>0</v>
      </c>
      <c r="P74" s="50">
        <f>J73*0.3*0</f>
        <v>0</v>
      </c>
      <c r="Q74" s="50">
        <f>J73*0.3*0</f>
        <v>0</v>
      </c>
      <c r="R74" s="50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116"/>
      <c r="AE74" s="117"/>
      <c r="AG74" s="97"/>
      <c r="AH74" s="21"/>
    </row>
    <row r="75" spans="1:39" s="18" customFormat="1" ht="37.5" x14ac:dyDescent="0.25">
      <c r="A75" s="87" t="s">
        <v>58</v>
      </c>
      <c r="B75" s="110" t="s">
        <v>136</v>
      </c>
      <c r="C75" s="111"/>
      <c r="D75" s="111"/>
      <c r="E75" s="112"/>
      <c r="F75" s="77"/>
      <c r="G75" s="56"/>
      <c r="H75" s="113"/>
      <c r="I75" s="114">
        <f>K75+L75+M75+O75+P75+Q75+R75+S75+T75+U75+V75+W75+X75+Y75+Z75+AA75+AB75</f>
        <v>111051.91008000002</v>
      </c>
      <c r="J75" s="153"/>
      <c r="K75" s="115"/>
      <c r="L75" s="50"/>
      <c r="M75" s="50">
        <f>L73*0.7</f>
        <v>0</v>
      </c>
      <c r="N75" s="50"/>
      <c r="O75" s="50">
        <f>M73*0.7</f>
        <v>0</v>
      </c>
      <c r="P75" s="50">
        <f t="shared" ref="P75" si="36">O73*0.7</f>
        <v>0</v>
      </c>
      <c r="Q75" s="50">
        <f t="shared" ref="Q75" si="37">P73*0.6</f>
        <v>0</v>
      </c>
      <c r="R75" s="50">
        <f>Q73*0.9</f>
        <v>2454.234156</v>
      </c>
      <c r="S75" s="50">
        <f>R73*0.9</f>
        <v>3243.17991618</v>
      </c>
      <c r="T75" s="50">
        <f>S73*0.9</f>
        <v>0</v>
      </c>
      <c r="U75" s="50">
        <f>T73*0.9</f>
        <v>31880.316360157482</v>
      </c>
      <c r="V75" s="50">
        <f>U73*0.9</f>
        <v>12870.982120824887</v>
      </c>
      <c r="W75" s="50">
        <f t="shared" ref="W75:AB75" si="38">V73*0.9</f>
        <v>10210.274505324887</v>
      </c>
      <c r="X75" s="50">
        <f t="shared" si="38"/>
        <v>10100.253117474887</v>
      </c>
      <c r="Y75" s="50">
        <f t="shared" si="38"/>
        <v>12320.959938521033</v>
      </c>
      <c r="Z75" s="50">
        <f t="shared" si="38"/>
        <v>11514.652778944124</v>
      </c>
      <c r="AA75" s="50">
        <f t="shared" si="38"/>
        <v>10791.670508528739</v>
      </c>
      <c r="AB75" s="50">
        <f t="shared" si="38"/>
        <v>5665.3866780439675</v>
      </c>
      <c r="AC75" s="116"/>
      <c r="AE75" s="117"/>
      <c r="AG75" s="97" t="e">
        <f>AG73-#REF!-#REF!-#REF!-#REF!</f>
        <v>#REF!</v>
      </c>
      <c r="AH75" s="21"/>
    </row>
    <row r="76" spans="1:39" s="18" customFormat="1" ht="21.6" customHeight="1" x14ac:dyDescent="0.25">
      <c r="A76" s="92" t="s">
        <v>59</v>
      </c>
      <c r="B76" s="66" t="s">
        <v>131</v>
      </c>
      <c r="C76" s="111"/>
      <c r="D76" s="111"/>
      <c r="E76" s="112"/>
      <c r="F76" s="55"/>
      <c r="G76" s="68"/>
      <c r="H76" s="68"/>
      <c r="I76" s="100">
        <f t="shared" ref="I76" si="39">K76+L76+M76+O76+P76+Q76+R76+S76+T76+U76+V76</f>
        <v>0</v>
      </c>
      <c r="J76" s="158"/>
      <c r="K76" s="118">
        <f>K73*0.3</f>
        <v>0</v>
      </c>
      <c r="L76" s="118">
        <f t="shared" ref="L76" si="40">L73*0.3</f>
        <v>0</v>
      </c>
      <c r="M76" s="118">
        <f>M73*0.2</f>
        <v>0</v>
      </c>
      <c r="N76" s="118"/>
      <c r="O76" s="118">
        <f t="shared" ref="O76" si="41">O73*0.2</f>
        <v>0</v>
      </c>
      <c r="P76" s="118">
        <v>0</v>
      </c>
      <c r="Q76" s="118">
        <f>P73*0.3</f>
        <v>0</v>
      </c>
      <c r="R76" s="118">
        <f>(Q73-0.3)*0</f>
        <v>0</v>
      </c>
      <c r="S76" s="118">
        <f>R73*0.3*0</f>
        <v>0</v>
      </c>
      <c r="T76" s="118">
        <f>S73*0.3*0</f>
        <v>0</v>
      </c>
      <c r="U76" s="118">
        <f>T73*0.3*0</f>
        <v>0</v>
      </c>
      <c r="V76" s="118">
        <f>U73*0.3*0</f>
        <v>0</v>
      </c>
      <c r="W76" s="118"/>
      <c r="X76" s="118"/>
      <c r="Y76" s="118"/>
      <c r="Z76" s="118"/>
      <c r="AA76" s="118"/>
      <c r="AB76" s="118"/>
      <c r="AC76" s="101"/>
      <c r="AE76" s="117"/>
    </row>
    <row r="77" spans="1:39" s="18" customFormat="1" ht="44.65" customHeight="1" x14ac:dyDescent="0.25">
      <c r="A77" s="87" t="s">
        <v>48</v>
      </c>
      <c r="B77" s="110" t="s">
        <v>60</v>
      </c>
      <c r="C77" s="117"/>
      <c r="D77" s="117"/>
      <c r="E77" s="42"/>
      <c r="F77" s="77"/>
      <c r="G77" s="56"/>
      <c r="H77" s="56"/>
      <c r="I77" s="98">
        <f>K77+L77+M77+O77+P77+Q77+R77+S77+T77+U77+V77+W77+X77+Y77+Z77+AA77+AB77</f>
        <v>12339.101120000001</v>
      </c>
      <c r="J77" s="98"/>
      <c r="K77" s="52">
        <f>K73*0.1</f>
        <v>0</v>
      </c>
      <c r="L77" s="52">
        <f t="shared" ref="L77:O77" si="42">L73*0.1</f>
        <v>0</v>
      </c>
      <c r="M77" s="52">
        <f t="shared" si="42"/>
        <v>0</v>
      </c>
      <c r="N77" s="52"/>
      <c r="O77" s="52">
        <f t="shared" si="42"/>
        <v>0</v>
      </c>
      <c r="P77" s="52">
        <v>0</v>
      </c>
      <c r="Q77" s="52">
        <f t="shared" ref="Q77:AB77" si="43">P73*0.1</f>
        <v>0</v>
      </c>
      <c r="R77" s="52">
        <f t="shared" si="43"/>
        <v>272.69268400000004</v>
      </c>
      <c r="S77" s="52">
        <f t="shared" si="43"/>
        <v>360.35332402</v>
      </c>
      <c r="T77" s="52">
        <f t="shared" si="43"/>
        <v>0</v>
      </c>
      <c r="U77" s="52">
        <f t="shared" si="43"/>
        <v>3542.2573733508311</v>
      </c>
      <c r="V77" s="52">
        <f t="shared" si="43"/>
        <v>1430.1091245360985</v>
      </c>
      <c r="W77" s="52">
        <f t="shared" si="43"/>
        <v>1134.4749450360985</v>
      </c>
      <c r="X77" s="52">
        <f t="shared" si="43"/>
        <v>1122.2503463860985</v>
      </c>
      <c r="Y77" s="52">
        <f t="shared" si="43"/>
        <v>1368.9955487245593</v>
      </c>
      <c r="Z77" s="52">
        <f t="shared" si="43"/>
        <v>1279.4058643271248</v>
      </c>
      <c r="AA77" s="52">
        <f t="shared" si="43"/>
        <v>1199.0745009476377</v>
      </c>
      <c r="AB77" s="52">
        <f t="shared" si="43"/>
        <v>629.48740867155198</v>
      </c>
      <c r="AC77" s="99"/>
      <c r="AE77" s="117"/>
    </row>
    <row r="78" spans="1:39" s="18" customFormat="1" ht="26.65" customHeight="1" x14ac:dyDescent="0.25">
      <c r="A78" s="119" t="s">
        <v>61</v>
      </c>
      <c r="B78" s="120" t="s">
        <v>62</v>
      </c>
      <c r="C78" s="121"/>
      <c r="D78" s="121"/>
      <c r="E78" s="122"/>
      <c r="F78" s="123"/>
      <c r="G78" s="124"/>
      <c r="H78" s="124"/>
      <c r="I78" s="125">
        <f>K78+L78+M78+O78+P78+Q78+R78+S78+T78+U78+V78+W78+X78+Y78+Z78+AA78+AB78</f>
        <v>123391.01120000001</v>
      </c>
      <c r="J78" s="159"/>
      <c r="K78" s="126">
        <f>K74+K75+K76</f>
        <v>0</v>
      </c>
      <c r="L78" s="126">
        <f>L74</f>
        <v>0</v>
      </c>
      <c r="M78" s="126">
        <f>M75</f>
        <v>0</v>
      </c>
      <c r="N78" s="126"/>
      <c r="O78" s="126">
        <v>0</v>
      </c>
      <c r="P78" s="126">
        <f>P74</f>
        <v>0</v>
      </c>
      <c r="Q78" s="126">
        <f>Q74</f>
        <v>0</v>
      </c>
      <c r="R78" s="126">
        <f t="shared" ref="R78:AA78" si="44">R75</f>
        <v>2454.234156</v>
      </c>
      <c r="S78" s="126">
        <f t="shared" si="44"/>
        <v>3243.17991618</v>
      </c>
      <c r="T78" s="126">
        <f t="shared" si="44"/>
        <v>0</v>
      </c>
      <c r="U78" s="126">
        <f t="shared" si="44"/>
        <v>31880.316360157482</v>
      </c>
      <c r="V78" s="126">
        <f t="shared" si="44"/>
        <v>12870.982120824887</v>
      </c>
      <c r="W78" s="126">
        <f t="shared" si="44"/>
        <v>10210.274505324887</v>
      </c>
      <c r="X78" s="126">
        <f t="shared" si="44"/>
        <v>10100.253117474887</v>
      </c>
      <c r="Y78" s="126">
        <f t="shared" si="44"/>
        <v>12320.959938521033</v>
      </c>
      <c r="Z78" s="126">
        <f t="shared" si="44"/>
        <v>11514.652778944124</v>
      </c>
      <c r="AA78" s="126">
        <f t="shared" si="44"/>
        <v>10791.670508528739</v>
      </c>
      <c r="AB78" s="126">
        <f>AB75+AI78+I77</f>
        <v>18004.487798043971</v>
      </c>
      <c r="AC78" s="127"/>
      <c r="AD78" s="128"/>
      <c r="AE78" s="117"/>
      <c r="AK78" s="97">
        <f>R80+S80+T80+U80+V80</f>
        <v>60538.455063794841</v>
      </c>
      <c r="AL78" s="97">
        <f>W80+X80+Y80+Z80+AA80+AB80</f>
        <v>87530.75837620518</v>
      </c>
      <c r="AM78" s="97">
        <f>AK78+AL78</f>
        <v>148069.21344000002</v>
      </c>
    </row>
    <row r="79" spans="1:39" ht="24.4" customHeight="1" x14ac:dyDescent="0.25">
      <c r="A79" s="87" t="s">
        <v>63</v>
      </c>
      <c r="B79" s="129" t="s">
        <v>135</v>
      </c>
      <c r="C79" s="40"/>
      <c r="D79" s="40"/>
      <c r="E79" s="42"/>
      <c r="F79" s="77"/>
      <c r="G79" s="56"/>
      <c r="H79" s="56"/>
      <c r="I79" s="130">
        <f>K79+L79+M79+O79+P79+Q79+R79+S79+T79+U79+V79+W79+X79+Y79+Z79+AA79+AB79</f>
        <v>24678.202240000002</v>
      </c>
      <c r="J79" s="130"/>
      <c r="K79" s="52">
        <f>K78*20%</f>
        <v>0</v>
      </c>
      <c r="L79" s="52">
        <f>L78*20%</f>
        <v>0</v>
      </c>
      <c r="M79" s="52">
        <f t="shared" ref="M79:AB79" si="45">M78*20%</f>
        <v>0</v>
      </c>
      <c r="N79" s="52"/>
      <c r="O79" s="52">
        <f t="shared" si="45"/>
        <v>0</v>
      </c>
      <c r="P79" s="52">
        <f t="shared" si="45"/>
        <v>0</v>
      </c>
      <c r="Q79" s="52">
        <f t="shared" si="45"/>
        <v>0</v>
      </c>
      <c r="R79" s="52">
        <f t="shared" si="45"/>
        <v>490.8468312</v>
      </c>
      <c r="S79" s="52">
        <f t="shared" si="45"/>
        <v>648.63598323600002</v>
      </c>
      <c r="T79" s="52">
        <f t="shared" si="45"/>
        <v>0</v>
      </c>
      <c r="U79" s="52">
        <f t="shared" si="45"/>
        <v>6376.063272031497</v>
      </c>
      <c r="V79" s="52">
        <f t="shared" si="45"/>
        <v>2574.1964241649775</v>
      </c>
      <c r="W79" s="52">
        <f t="shared" si="45"/>
        <v>2042.0549010649775</v>
      </c>
      <c r="X79" s="52">
        <f t="shared" si="45"/>
        <v>2020.0506234949776</v>
      </c>
      <c r="Y79" s="52">
        <f t="shared" si="45"/>
        <v>2464.1919877042069</v>
      </c>
      <c r="Z79" s="52">
        <f t="shared" si="45"/>
        <v>2302.9305557888251</v>
      </c>
      <c r="AA79" s="52">
        <f t="shared" si="45"/>
        <v>2158.3341017057478</v>
      </c>
      <c r="AB79" s="52">
        <f t="shared" si="45"/>
        <v>3600.8975596087944</v>
      </c>
      <c r="AC79" s="52"/>
      <c r="AD79" s="131"/>
      <c r="AE79" s="40"/>
    </row>
    <row r="80" spans="1:39" ht="31.5" customHeight="1" x14ac:dyDescent="0.25">
      <c r="A80" s="87" t="s">
        <v>64</v>
      </c>
      <c r="B80" s="129" t="s">
        <v>65</v>
      </c>
      <c r="C80" s="40"/>
      <c r="D80" s="40"/>
      <c r="E80" s="42"/>
      <c r="F80" s="77"/>
      <c r="G80" s="56"/>
      <c r="H80" s="56"/>
      <c r="I80" s="132">
        <f>K80+L80+M80+O80+P80+Q80+R80+S80+T80+U80+V80+W80+X80+Y80+Z80+AA80+AB80</f>
        <v>148069.21344000002</v>
      </c>
      <c r="J80" s="132"/>
      <c r="K80" s="52">
        <f>K78+K79</f>
        <v>0</v>
      </c>
      <c r="L80" s="52">
        <f>L78+L79</f>
        <v>0</v>
      </c>
      <c r="M80" s="52">
        <f t="shared" ref="M80" si="46">M78+M79</f>
        <v>0</v>
      </c>
      <c r="N80" s="52"/>
      <c r="O80" s="52">
        <f>O78+O79</f>
        <v>0</v>
      </c>
      <c r="P80" s="52">
        <f t="shared" ref="P80:AB80" si="47">P78+P79</f>
        <v>0</v>
      </c>
      <c r="Q80" s="52">
        <f t="shared" si="47"/>
        <v>0</v>
      </c>
      <c r="R80" s="52">
        <f t="shared" si="47"/>
        <v>2945.0809872</v>
      </c>
      <c r="S80" s="50">
        <f t="shared" si="47"/>
        <v>3891.8158994159999</v>
      </c>
      <c r="T80" s="50">
        <f t="shared" si="47"/>
        <v>0</v>
      </c>
      <c r="U80" s="50">
        <f t="shared" si="47"/>
        <v>38256.379632188982</v>
      </c>
      <c r="V80" s="50">
        <f t="shared" si="47"/>
        <v>15445.178544989863</v>
      </c>
      <c r="W80" s="86">
        <f t="shared" si="47"/>
        <v>12252.329406389865</v>
      </c>
      <c r="X80" s="86">
        <f t="shared" si="47"/>
        <v>12120.303740969865</v>
      </c>
      <c r="Y80" s="86">
        <f t="shared" si="47"/>
        <v>14785.15192622524</v>
      </c>
      <c r="Z80" s="86">
        <f t="shared" si="47"/>
        <v>13817.58333473295</v>
      </c>
      <c r="AA80" s="86">
        <f t="shared" si="47"/>
        <v>12950.004610234488</v>
      </c>
      <c r="AB80" s="50">
        <f t="shared" si="47"/>
        <v>21605.385357652765</v>
      </c>
      <c r="AC80" s="52"/>
      <c r="AD80" s="131"/>
      <c r="AE80" s="40"/>
    </row>
    <row r="81" spans="1:29" ht="20.25" customHeight="1" x14ac:dyDescent="0.3">
      <c r="B81" s="133"/>
      <c r="L81" s="2">
        <f>-L80*1000</f>
        <v>0</v>
      </c>
      <c r="M81" s="2">
        <f t="shared" ref="M81:AB81" si="48">-M80*1000</f>
        <v>0</v>
      </c>
      <c r="O81" s="2">
        <f t="shared" si="48"/>
        <v>0</v>
      </c>
      <c r="P81" s="2">
        <f t="shared" si="48"/>
        <v>0</v>
      </c>
      <c r="Q81" s="2">
        <f t="shared" si="48"/>
        <v>0</v>
      </c>
      <c r="R81" s="2">
        <f t="shared" si="48"/>
        <v>-2945080.9871999999</v>
      </c>
      <c r="S81" s="2">
        <f t="shared" si="48"/>
        <v>-3891815.8994159997</v>
      </c>
      <c r="T81" s="2">
        <f t="shared" si="48"/>
        <v>0</v>
      </c>
      <c r="U81" s="2">
        <f t="shared" si="48"/>
        <v>-38256379.632188983</v>
      </c>
      <c r="V81" s="2">
        <f t="shared" si="48"/>
        <v>-15445178.544989863</v>
      </c>
      <c r="W81" s="2">
        <f t="shared" si="48"/>
        <v>-12252329.406389864</v>
      </c>
      <c r="X81" s="2">
        <f t="shared" si="48"/>
        <v>-12120303.740969865</v>
      </c>
      <c r="Y81" s="2">
        <f t="shared" si="48"/>
        <v>-14785151.926225241</v>
      </c>
      <c r="Z81" s="2">
        <f t="shared" si="48"/>
        <v>-13817583.33473295</v>
      </c>
      <c r="AA81" s="2">
        <f t="shared" si="48"/>
        <v>-12950004.610234488</v>
      </c>
      <c r="AB81" s="2">
        <f t="shared" si="48"/>
        <v>-21605385.357652765</v>
      </c>
    </row>
    <row r="82" spans="1:29" x14ac:dyDescent="0.25">
      <c r="A82" s="2"/>
      <c r="B82" s="296"/>
      <c r="I82" s="200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</row>
    <row r="83" spans="1:29" x14ac:dyDescent="0.25">
      <c r="A83" s="2"/>
      <c r="B83" s="135"/>
      <c r="I83" s="205" t="s">
        <v>137</v>
      </c>
      <c r="J83" s="155" t="s">
        <v>138</v>
      </c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236"/>
      <c r="X83" s="236"/>
      <c r="Y83" s="236"/>
      <c r="Z83" s="236"/>
      <c r="AA83" s="236"/>
      <c r="AB83" s="236"/>
    </row>
    <row r="84" spans="1:29" ht="18.75" customHeight="1" x14ac:dyDescent="0.25">
      <c r="A84" s="2"/>
      <c r="B84" s="40" t="s">
        <v>54</v>
      </c>
      <c r="C84" s="40"/>
      <c r="D84" s="40"/>
      <c r="E84" s="40"/>
      <c r="F84" s="40"/>
      <c r="G84" s="40"/>
      <c r="H84" s="40"/>
      <c r="I84" s="172">
        <f>'[2]Сух Лог_ВЭ_август'!I111</f>
        <v>119546363.60934751</v>
      </c>
      <c r="J84" s="172">
        <f>(J26+J28+J30+J33+J37+J39+J41+J43+J45+J47+J49+J52+J57)*1000</f>
        <v>94105057.00000003</v>
      </c>
      <c r="K84" s="172">
        <f t="shared" ref="K84:AB84" si="49">(K26+K28+K30+K33+K37+K39+K41+K43+K45+K47+K49+K52+K57)*1000</f>
        <v>0</v>
      </c>
      <c r="L84" s="172">
        <f t="shared" si="49"/>
        <v>0</v>
      </c>
      <c r="M84" s="172">
        <f t="shared" si="49"/>
        <v>0</v>
      </c>
      <c r="N84" s="172"/>
      <c r="O84" s="172">
        <f t="shared" si="49"/>
        <v>0</v>
      </c>
      <c r="P84" s="172">
        <f t="shared" si="49"/>
        <v>0</v>
      </c>
      <c r="Q84" s="172">
        <f t="shared" si="49"/>
        <v>2726926.84</v>
      </c>
      <c r="R84" s="172">
        <f t="shared" si="49"/>
        <v>2047420.8901999998</v>
      </c>
      <c r="S84" s="172">
        <f t="shared" si="49"/>
        <v>0</v>
      </c>
      <c r="T84" s="172">
        <f t="shared" si="49"/>
        <v>30043331.360908117</v>
      </c>
      <c r="U84" s="172">
        <f t="shared" si="49"/>
        <v>11276679.45296718</v>
      </c>
      <c r="V84" s="172">
        <f t="shared" si="49"/>
        <v>8320337.65796718</v>
      </c>
      <c r="W84" s="172">
        <f t="shared" si="49"/>
        <v>8198091.6714671804</v>
      </c>
      <c r="X84" s="172">
        <f t="shared" si="49"/>
        <v>10247614.589333976</v>
      </c>
      <c r="Y84" s="172">
        <f t="shared" si="49"/>
        <v>9978794.4545559846</v>
      </c>
      <c r="Z84" s="172">
        <f t="shared" si="49"/>
        <v>9314790.5226003863</v>
      </c>
      <c r="AA84" s="172">
        <f t="shared" si="49"/>
        <v>1951069.56</v>
      </c>
      <c r="AB84" s="172">
        <f t="shared" si="49"/>
        <v>0</v>
      </c>
    </row>
    <row r="85" spans="1:29" ht="15.75" customHeight="1" x14ac:dyDescent="0.25">
      <c r="A85" s="2"/>
      <c r="B85" s="40" t="s">
        <v>132</v>
      </c>
      <c r="C85" s="40"/>
      <c r="D85" s="40"/>
      <c r="E85" s="40"/>
      <c r="F85" s="40"/>
      <c r="G85" s="40"/>
      <c r="H85" s="40"/>
      <c r="I85" s="173">
        <f t="shared" ref="I85:AB85" si="50">(I66+I54+I35)*1000</f>
        <v>13785209.619999999</v>
      </c>
      <c r="J85" s="173">
        <f t="shared" si="50"/>
        <v>13785209.620000001</v>
      </c>
      <c r="K85" s="173">
        <f t="shared" si="50"/>
        <v>0</v>
      </c>
      <c r="L85" s="173">
        <f t="shared" si="50"/>
        <v>0</v>
      </c>
      <c r="M85" s="173">
        <f t="shared" si="50"/>
        <v>0</v>
      </c>
      <c r="N85" s="173"/>
      <c r="O85" s="173">
        <f t="shared" si="50"/>
        <v>0</v>
      </c>
      <c r="P85" s="173">
        <f t="shared" si="50"/>
        <v>0</v>
      </c>
      <c r="Q85" s="173">
        <f t="shared" si="50"/>
        <v>0</v>
      </c>
      <c r="R85" s="173">
        <f t="shared" si="50"/>
        <v>1556112.35</v>
      </c>
      <c r="S85" s="173">
        <f t="shared" si="50"/>
        <v>0</v>
      </c>
      <c r="T85" s="173">
        <f t="shared" si="50"/>
        <v>2338474.5412510657</v>
      </c>
      <c r="U85" s="173">
        <f t="shared" si="50"/>
        <v>1671716.4220712457</v>
      </c>
      <c r="V85" s="173">
        <f t="shared" si="50"/>
        <v>1671716.4220712457</v>
      </c>
      <c r="W85" s="173">
        <f t="shared" si="50"/>
        <v>1671716.4220712457</v>
      </c>
      <c r="X85" s="173">
        <f t="shared" si="50"/>
        <v>2089645.5275890576</v>
      </c>
      <c r="Y85" s="173">
        <f t="shared" si="50"/>
        <v>1462568.8183927049</v>
      </c>
      <c r="Z85" s="173">
        <f t="shared" si="50"/>
        <v>1323259.1165534344</v>
      </c>
      <c r="AA85" s="173">
        <f t="shared" si="50"/>
        <v>0</v>
      </c>
      <c r="AB85" s="173">
        <f t="shared" si="50"/>
        <v>0</v>
      </c>
    </row>
    <row r="86" spans="1:29" x14ac:dyDescent="0.25">
      <c r="B86" s="40" t="s">
        <v>130</v>
      </c>
      <c r="C86" s="40"/>
      <c r="D86" s="40"/>
      <c r="E86" s="40"/>
      <c r="F86" s="40"/>
      <c r="G86" s="40"/>
      <c r="H86" s="40"/>
      <c r="I86" s="174">
        <v>15799746.060000001</v>
      </c>
      <c r="J86" s="174">
        <f t="shared" ref="J86:AB86" si="51">(J60+J62+J64+J68+J70)*1000</f>
        <v>15500744.579999998</v>
      </c>
      <c r="K86" s="174">
        <f t="shared" si="51"/>
        <v>0</v>
      </c>
      <c r="L86" s="174">
        <f t="shared" si="51"/>
        <v>0</v>
      </c>
      <c r="M86" s="174">
        <f t="shared" si="51"/>
        <v>0</v>
      </c>
      <c r="N86" s="174"/>
      <c r="O86" s="174">
        <f t="shared" si="51"/>
        <v>0</v>
      </c>
      <c r="P86" s="174">
        <f t="shared" si="51"/>
        <v>0</v>
      </c>
      <c r="Q86" s="174">
        <f t="shared" si="51"/>
        <v>0</v>
      </c>
      <c r="R86" s="174">
        <f t="shared" si="51"/>
        <v>0</v>
      </c>
      <c r="S86" s="174">
        <f t="shared" si="51"/>
        <v>0</v>
      </c>
      <c r="T86" s="174">
        <f t="shared" si="51"/>
        <v>3040767.831349127</v>
      </c>
      <c r="U86" s="174">
        <f t="shared" si="51"/>
        <v>1352695.3703225588</v>
      </c>
      <c r="V86" s="174">
        <f t="shared" si="51"/>
        <v>1352695.3703225588</v>
      </c>
      <c r="W86" s="174">
        <f t="shared" si="51"/>
        <v>1352695.3703225588</v>
      </c>
      <c r="X86" s="174">
        <f t="shared" si="51"/>
        <v>1352695.3703225588</v>
      </c>
      <c r="Y86" s="174">
        <f t="shared" si="51"/>
        <v>1352695.3703225588</v>
      </c>
      <c r="Z86" s="174">
        <f t="shared" si="51"/>
        <v>1352695.3703225588</v>
      </c>
      <c r="AA86" s="174">
        <f t="shared" si="51"/>
        <v>4343804.5267155189</v>
      </c>
      <c r="AB86" s="174">
        <f t="shared" si="51"/>
        <v>0</v>
      </c>
    </row>
    <row r="87" spans="1:29" x14ac:dyDescent="0.25">
      <c r="B87" s="40" t="s">
        <v>128</v>
      </c>
      <c r="C87" s="40"/>
      <c r="D87" s="40"/>
      <c r="E87" s="40"/>
      <c r="F87" s="40"/>
      <c r="G87" s="40"/>
      <c r="H87" s="40"/>
      <c r="I87" s="175">
        <f>'[2]Сух Лог_ВЭ_август'!I115</f>
        <v>6267259.0889999997</v>
      </c>
      <c r="J87" s="175">
        <f>J72*1000</f>
        <v>0</v>
      </c>
      <c r="K87" s="175">
        <f t="shared" ref="K87:AB87" si="52">K72*1000</f>
        <v>0</v>
      </c>
      <c r="L87" s="175">
        <f t="shared" si="52"/>
        <v>0</v>
      </c>
      <c r="M87" s="175">
        <f t="shared" si="52"/>
        <v>0</v>
      </c>
      <c r="N87" s="175"/>
      <c r="O87" s="175">
        <f t="shared" si="52"/>
        <v>0</v>
      </c>
      <c r="P87" s="175">
        <f t="shared" si="52"/>
        <v>0</v>
      </c>
      <c r="Q87" s="175">
        <f t="shared" si="52"/>
        <v>0</v>
      </c>
      <c r="R87" s="175">
        <f t="shared" si="52"/>
        <v>0</v>
      </c>
      <c r="S87" s="175">
        <f t="shared" si="52"/>
        <v>0</v>
      </c>
      <c r="T87" s="175">
        <f t="shared" si="52"/>
        <v>0</v>
      </c>
      <c r="U87" s="175">
        <f t="shared" si="52"/>
        <v>0</v>
      </c>
      <c r="V87" s="175">
        <f t="shared" si="52"/>
        <v>0</v>
      </c>
      <c r="W87" s="175">
        <f t="shared" si="52"/>
        <v>0</v>
      </c>
      <c r="X87" s="175">
        <f t="shared" si="52"/>
        <v>0</v>
      </c>
      <c r="Y87" s="175">
        <f t="shared" si="52"/>
        <v>0</v>
      </c>
      <c r="Z87" s="175">
        <f t="shared" si="52"/>
        <v>0</v>
      </c>
      <c r="AA87" s="175">
        <f t="shared" si="52"/>
        <v>0</v>
      </c>
      <c r="AB87" s="175">
        <f t="shared" si="52"/>
        <v>0</v>
      </c>
    </row>
    <row r="88" spans="1:29" x14ac:dyDescent="0.25">
      <c r="W88" s="2" t="s">
        <v>169</v>
      </c>
      <c r="X88" s="2" t="s">
        <v>170</v>
      </c>
      <c r="Y88" s="2" t="s">
        <v>171</v>
      </c>
      <c r="Z88" s="2" t="s">
        <v>172</v>
      </c>
      <c r="AA88" s="2" t="s">
        <v>28</v>
      </c>
      <c r="AB88" s="2" t="s">
        <v>173</v>
      </c>
    </row>
    <row r="89" spans="1:29" x14ac:dyDescent="0.25">
      <c r="I89" s="3">
        <f>I84+I85+I86+I87</f>
        <v>155398578.37834749</v>
      </c>
      <c r="J89" s="3">
        <f>J84+J85+J86+J87</f>
        <v>123391011.20000003</v>
      </c>
      <c r="R89" s="200"/>
      <c r="S89" s="200"/>
      <c r="T89" s="200"/>
      <c r="U89" s="200"/>
      <c r="V89" s="200"/>
      <c r="W89" s="200">
        <f>W84+W85+W86</f>
        <v>11222503.463860985</v>
      </c>
      <c r="X89" s="200">
        <f t="shared" ref="X89:AB89" si="53">X84+X85+X86</f>
        <v>13689955.487245593</v>
      </c>
      <c r="Y89" s="200">
        <f t="shared" si="53"/>
        <v>12794058.643271249</v>
      </c>
      <c r="Z89" s="200">
        <f t="shared" si="53"/>
        <v>11990745.00947638</v>
      </c>
      <c r="AA89" s="200">
        <f t="shared" si="53"/>
        <v>6294874.0867155194</v>
      </c>
      <c r="AB89" s="200">
        <f t="shared" si="53"/>
        <v>0</v>
      </c>
    </row>
    <row r="90" spans="1:29" x14ac:dyDescent="0.25">
      <c r="R90" s="200"/>
      <c r="S90" s="200"/>
      <c r="T90" s="200"/>
      <c r="U90" s="200"/>
      <c r="V90" s="200"/>
      <c r="W90" s="200"/>
      <c r="X90" s="200"/>
      <c r="Y90" s="200"/>
      <c r="Z90" s="200"/>
    </row>
    <row r="91" spans="1:29" x14ac:dyDescent="0.25">
      <c r="R91" s="200"/>
      <c r="S91" s="200"/>
      <c r="T91" s="200"/>
      <c r="U91" s="200"/>
      <c r="V91" s="200"/>
      <c r="W91" s="200"/>
      <c r="X91" s="200"/>
      <c r="Y91" s="200"/>
      <c r="Z91" s="200"/>
    </row>
    <row r="92" spans="1:29" x14ac:dyDescent="0.25">
      <c r="R92" s="200"/>
      <c r="S92" s="200"/>
      <c r="T92" s="200"/>
      <c r="U92" s="200"/>
      <c r="V92" s="200"/>
      <c r="W92" s="200"/>
      <c r="X92" s="200"/>
      <c r="Y92" s="200"/>
      <c r="Z92" s="200"/>
    </row>
    <row r="93" spans="1:29" x14ac:dyDescent="0.25">
      <c r="B93" s="2" t="s">
        <v>153</v>
      </c>
      <c r="R93" s="200"/>
      <c r="S93" s="200"/>
      <c r="T93" s="200"/>
      <c r="U93" s="200"/>
      <c r="V93" s="200"/>
      <c r="W93" s="200"/>
      <c r="X93" s="200"/>
      <c r="Y93" s="200"/>
      <c r="Z93" s="200"/>
    </row>
    <row r="94" spans="1:29" x14ac:dyDescent="0.25">
      <c r="T94" s="200"/>
    </row>
    <row r="95" spans="1:29" ht="63" x14ac:dyDescent="0.25">
      <c r="A95" s="297" t="s">
        <v>154</v>
      </c>
      <c r="B95" s="298" t="s">
        <v>155</v>
      </c>
      <c r="I95" s="299" t="s">
        <v>156</v>
      </c>
      <c r="J95" s="300"/>
      <c r="K95" s="38">
        <v>2020</v>
      </c>
      <c r="L95" s="38">
        <v>2020</v>
      </c>
      <c r="M95" s="38">
        <v>2020</v>
      </c>
      <c r="N95" s="38">
        <v>2020</v>
      </c>
      <c r="O95" s="38">
        <v>2020</v>
      </c>
      <c r="P95" s="38">
        <v>2020</v>
      </c>
      <c r="Q95" s="38">
        <v>2020</v>
      </c>
      <c r="R95" s="38">
        <v>2020</v>
      </c>
      <c r="S95" s="38">
        <v>2020</v>
      </c>
      <c r="T95" s="38">
        <v>2020</v>
      </c>
      <c r="U95" s="38">
        <v>2020</v>
      </c>
      <c r="V95" s="38">
        <v>2020</v>
      </c>
      <c r="W95" s="234">
        <v>2021</v>
      </c>
      <c r="X95" s="234">
        <v>2021</v>
      </c>
      <c r="Y95" s="234">
        <v>2021</v>
      </c>
      <c r="Z95" s="234">
        <v>2021</v>
      </c>
      <c r="AA95" s="234">
        <v>2021</v>
      </c>
      <c r="AB95" s="234">
        <v>2021</v>
      </c>
      <c r="AC95" s="301">
        <v>2021</v>
      </c>
    </row>
    <row r="96" spans="1:29" x14ac:dyDescent="0.25">
      <c r="A96" s="302"/>
      <c r="B96" s="302"/>
      <c r="C96" s="303"/>
      <c r="D96" s="303"/>
      <c r="E96" s="303"/>
      <c r="F96" s="303"/>
      <c r="G96" s="303"/>
      <c r="H96" s="303"/>
      <c r="I96" s="304"/>
      <c r="J96" s="305"/>
      <c r="K96" s="306" t="s">
        <v>24</v>
      </c>
      <c r="L96" s="306" t="s">
        <v>25</v>
      </c>
      <c r="M96" s="306" t="s">
        <v>26</v>
      </c>
      <c r="N96" s="306" t="s">
        <v>27</v>
      </c>
      <c r="O96" s="306" t="s">
        <v>28</v>
      </c>
      <c r="P96" s="306" t="s">
        <v>29</v>
      </c>
      <c r="Q96" s="306" t="s">
        <v>30</v>
      </c>
      <c r="R96" s="306" t="s">
        <v>31</v>
      </c>
      <c r="S96" s="306" t="s">
        <v>32</v>
      </c>
      <c r="T96" s="306" t="s">
        <v>33</v>
      </c>
      <c r="U96" s="306" t="s">
        <v>34</v>
      </c>
      <c r="V96" s="306" t="s">
        <v>35</v>
      </c>
      <c r="W96" s="306" t="s">
        <v>24</v>
      </c>
      <c r="X96" s="306" t="s">
        <v>25</v>
      </c>
      <c r="Y96" s="306" t="s">
        <v>26</v>
      </c>
      <c r="Z96" s="306" t="s">
        <v>27</v>
      </c>
      <c r="AA96" s="306" t="s">
        <v>28</v>
      </c>
      <c r="AB96" s="306" t="s">
        <v>29</v>
      </c>
      <c r="AC96" s="307" t="s">
        <v>139</v>
      </c>
    </row>
    <row r="97" spans="1:37" s="76" customFormat="1" x14ac:dyDescent="0.25">
      <c r="A97" s="308" t="s">
        <v>91</v>
      </c>
      <c r="B97" s="309" t="s">
        <v>157</v>
      </c>
      <c r="C97" s="310"/>
      <c r="D97" s="310"/>
      <c r="E97" s="310"/>
      <c r="F97" s="310"/>
      <c r="G97" s="310"/>
      <c r="H97" s="310"/>
      <c r="I97" s="311">
        <f>SUM(K97:AB97)</f>
        <v>1</v>
      </c>
      <c r="J97" s="312">
        <f t="shared" ref="J97:J115" si="54">SUM(K97:AB97)</f>
        <v>1</v>
      </c>
      <c r="K97" s="313">
        <f>K34</f>
        <v>0</v>
      </c>
      <c r="L97" s="313">
        <f t="shared" ref="L97:S97" si="55">L34</f>
        <v>0</v>
      </c>
      <c r="M97" s="313">
        <f t="shared" si="55"/>
        <v>0</v>
      </c>
      <c r="N97" s="313">
        <f t="shared" si="55"/>
        <v>0</v>
      </c>
      <c r="O97" s="313">
        <f t="shared" si="55"/>
        <v>0</v>
      </c>
      <c r="P97" s="313">
        <f t="shared" si="55"/>
        <v>0</v>
      </c>
      <c r="Q97" s="313">
        <f t="shared" si="55"/>
        <v>0</v>
      </c>
      <c r="R97" s="313">
        <v>0</v>
      </c>
      <c r="S97" s="313">
        <f t="shared" si="55"/>
        <v>0</v>
      </c>
      <c r="T97" s="313">
        <v>0.36999542467144581</v>
      </c>
      <c r="U97" s="313">
        <v>0.1080007843420379</v>
      </c>
      <c r="V97" s="313">
        <v>0.1080007843420379</v>
      </c>
      <c r="W97" s="313">
        <v>0.1080007843420379</v>
      </c>
      <c r="X97" s="313">
        <v>0.13500098042754732</v>
      </c>
      <c r="Y97" s="313">
        <v>9.0000653618364956E-2</v>
      </c>
      <c r="Z97" s="313">
        <v>8.1000588256528255E-2</v>
      </c>
      <c r="AA97" s="313">
        <v>0</v>
      </c>
      <c r="AB97" s="313">
        <v>0</v>
      </c>
      <c r="AC97" s="314"/>
    </row>
    <row r="98" spans="1:37" x14ac:dyDescent="0.25">
      <c r="A98" s="315"/>
      <c r="B98" s="316"/>
      <c r="C98" s="303"/>
      <c r="D98" s="303"/>
      <c r="E98" s="303"/>
      <c r="F98" s="303"/>
      <c r="G98" s="303"/>
      <c r="H98" s="303"/>
      <c r="I98" s="305">
        <f>46106278.26/1000</f>
        <v>46106.278259999999</v>
      </c>
      <c r="J98" s="317">
        <f t="shared" si="54"/>
        <v>46106.278259999999</v>
      </c>
      <c r="K98" s="318">
        <f>$I98*K97</f>
        <v>0</v>
      </c>
      <c r="L98" s="318">
        <f t="shared" ref="L98:S98" si="56">$I98*L97</f>
        <v>0</v>
      </c>
      <c r="M98" s="318">
        <f t="shared" si="56"/>
        <v>0</v>
      </c>
      <c r="N98" s="318">
        <f t="shared" si="56"/>
        <v>0</v>
      </c>
      <c r="O98" s="318">
        <f t="shared" si="56"/>
        <v>0</v>
      </c>
      <c r="P98" s="318">
        <f t="shared" si="56"/>
        <v>0</v>
      </c>
      <c r="Q98" s="318">
        <f t="shared" si="56"/>
        <v>0</v>
      </c>
      <c r="R98" s="318">
        <f t="shared" si="56"/>
        <v>0</v>
      </c>
      <c r="S98" s="318">
        <f t="shared" si="56"/>
        <v>0</v>
      </c>
      <c r="T98" s="318">
        <f>$I98*T97</f>
        <v>17059.112004828548</v>
      </c>
      <c r="U98" s="318">
        <f>$I98*U97</f>
        <v>4979.5142151722503</v>
      </c>
      <c r="V98" s="318">
        <f t="shared" ref="V98:AB98" si="57">$I98*V97</f>
        <v>4979.5142151722503</v>
      </c>
      <c r="W98" s="318">
        <f t="shared" si="57"/>
        <v>4979.5142151722503</v>
      </c>
      <c r="X98" s="318">
        <f t="shared" si="57"/>
        <v>6224.3927689653101</v>
      </c>
      <c r="Y98" s="318">
        <f t="shared" si="57"/>
        <v>4149.5951793102104</v>
      </c>
      <c r="Z98" s="318">
        <f t="shared" si="57"/>
        <v>3734.63566137918</v>
      </c>
      <c r="AA98" s="318">
        <f t="shared" si="57"/>
        <v>0</v>
      </c>
      <c r="AB98" s="318">
        <f t="shared" si="57"/>
        <v>0</v>
      </c>
      <c r="AC98" s="307"/>
      <c r="AK98" s="200">
        <f>I98-U98-V98-W98-X98-Y98-Z98</f>
        <v>17059.112004828548</v>
      </c>
    </row>
    <row r="99" spans="1:37" x14ac:dyDescent="0.25">
      <c r="A99" s="315" t="s">
        <v>95</v>
      </c>
      <c r="B99" s="319" t="s">
        <v>158</v>
      </c>
      <c r="C99" s="303"/>
      <c r="D99" s="303"/>
      <c r="E99" s="303"/>
      <c r="F99" s="303"/>
      <c r="G99" s="303"/>
      <c r="H99" s="303"/>
      <c r="I99" s="320">
        <f>SUM(K99:AB99)</f>
        <v>1</v>
      </c>
      <c r="J99" s="321">
        <f t="shared" si="54"/>
        <v>1</v>
      </c>
      <c r="K99" s="322">
        <f>K53</f>
        <v>0</v>
      </c>
      <c r="L99" s="322">
        <f t="shared" ref="L99:AB99" si="58">L53</f>
        <v>0</v>
      </c>
      <c r="M99" s="322">
        <f t="shared" si="58"/>
        <v>0</v>
      </c>
      <c r="N99" s="322">
        <f t="shared" si="58"/>
        <v>0</v>
      </c>
      <c r="O99" s="322">
        <f t="shared" si="58"/>
        <v>0</v>
      </c>
      <c r="P99" s="322">
        <f t="shared" si="58"/>
        <v>0</v>
      </c>
      <c r="Q99" s="322">
        <f t="shared" si="58"/>
        <v>0</v>
      </c>
      <c r="R99" s="322">
        <f t="shared" si="58"/>
        <v>0</v>
      </c>
      <c r="S99" s="322">
        <f t="shared" si="58"/>
        <v>0</v>
      </c>
      <c r="T99" s="322">
        <f t="shared" si="58"/>
        <v>0</v>
      </c>
      <c r="U99" s="322">
        <f t="shared" si="58"/>
        <v>0</v>
      </c>
      <c r="V99" s="322">
        <f t="shared" si="58"/>
        <v>0</v>
      </c>
      <c r="W99" s="322">
        <f t="shared" si="58"/>
        <v>0</v>
      </c>
      <c r="X99" s="322">
        <f t="shared" si="58"/>
        <v>0</v>
      </c>
      <c r="Y99" s="322">
        <f t="shared" si="58"/>
        <v>0.5</v>
      </c>
      <c r="Z99" s="322">
        <f t="shared" si="58"/>
        <v>0.5</v>
      </c>
      <c r="AA99" s="322">
        <f t="shared" si="58"/>
        <v>0</v>
      </c>
      <c r="AB99" s="322">
        <f t="shared" si="58"/>
        <v>0</v>
      </c>
      <c r="AC99" s="307"/>
    </row>
    <row r="100" spans="1:37" x14ac:dyDescent="0.25">
      <c r="A100" s="315"/>
      <c r="B100" s="319"/>
      <c r="C100" s="303"/>
      <c r="D100" s="303"/>
      <c r="E100" s="303"/>
      <c r="F100" s="303"/>
      <c r="G100" s="303"/>
      <c r="H100" s="303"/>
      <c r="I100" s="305">
        <f>7864945.03794361/1000</f>
        <v>7864.9450379436103</v>
      </c>
      <c r="J100" s="317">
        <f t="shared" si="54"/>
        <v>7864.9450379436103</v>
      </c>
      <c r="K100" s="323">
        <f>$I100*K99</f>
        <v>0</v>
      </c>
      <c r="L100" s="323">
        <f t="shared" ref="L100:AB100" si="59">$I100*L99</f>
        <v>0</v>
      </c>
      <c r="M100" s="323">
        <f t="shared" si="59"/>
        <v>0</v>
      </c>
      <c r="N100" s="323">
        <f t="shared" si="59"/>
        <v>0</v>
      </c>
      <c r="O100" s="323">
        <f t="shared" si="59"/>
        <v>0</v>
      </c>
      <c r="P100" s="323">
        <f t="shared" si="59"/>
        <v>0</v>
      </c>
      <c r="Q100" s="323">
        <f t="shared" si="59"/>
        <v>0</v>
      </c>
      <c r="R100" s="323">
        <f t="shared" si="59"/>
        <v>0</v>
      </c>
      <c r="S100" s="323">
        <f t="shared" si="59"/>
        <v>0</v>
      </c>
      <c r="T100" s="323">
        <f t="shared" si="59"/>
        <v>0</v>
      </c>
      <c r="U100" s="323">
        <f t="shared" si="59"/>
        <v>0</v>
      </c>
      <c r="V100" s="323">
        <f t="shared" si="59"/>
        <v>0</v>
      </c>
      <c r="W100" s="323">
        <f t="shared" si="59"/>
        <v>0</v>
      </c>
      <c r="X100" s="323">
        <f t="shared" si="59"/>
        <v>0</v>
      </c>
      <c r="Y100" s="324">
        <f t="shared" si="59"/>
        <v>3932.4725189718051</v>
      </c>
      <c r="Z100" s="324">
        <f t="shared" si="59"/>
        <v>3932.4725189718051</v>
      </c>
      <c r="AA100" s="323">
        <f t="shared" si="59"/>
        <v>0</v>
      </c>
      <c r="AB100" s="323">
        <f t="shared" si="59"/>
        <v>0</v>
      </c>
      <c r="AC100" s="325"/>
    </row>
    <row r="101" spans="1:37" x14ac:dyDescent="0.25">
      <c r="A101" s="315" t="s">
        <v>100</v>
      </c>
      <c r="B101" s="319" t="s">
        <v>159</v>
      </c>
      <c r="C101" s="303"/>
      <c r="D101" s="303"/>
      <c r="E101" s="303"/>
      <c r="F101" s="303"/>
      <c r="G101" s="303"/>
      <c r="H101" s="303"/>
      <c r="I101" s="320">
        <f>SUM(K101:AB101)</f>
        <v>1</v>
      </c>
      <c r="J101" s="321">
        <f t="shared" si="54"/>
        <v>1</v>
      </c>
      <c r="K101" s="326">
        <f>K65</f>
        <v>0</v>
      </c>
      <c r="L101" s="326">
        <f t="shared" ref="L101:AB101" si="60">L65</f>
        <v>0</v>
      </c>
      <c r="M101" s="326">
        <f t="shared" si="60"/>
        <v>0</v>
      </c>
      <c r="N101" s="326">
        <f t="shared" si="60"/>
        <v>0</v>
      </c>
      <c r="O101" s="326">
        <f t="shared" si="60"/>
        <v>0</v>
      </c>
      <c r="P101" s="326">
        <f t="shared" si="60"/>
        <v>0</v>
      </c>
      <c r="Q101" s="326">
        <f t="shared" si="60"/>
        <v>0</v>
      </c>
      <c r="R101" s="326">
        <f t="shared" si="60"/>
        <v>0</v>
      </c>
      <c r="S101" s="326">
        <f t="shared" si="60"/>
        <v>0</v>
      </c>
      <c r="T101" s="326">
        <f t="shared" si="60"/>
        <v>0</v>
      </c>
      <c r="U101" s="326">
        <f t="shared" si="60"/>
        <v>0</v>
      </c>
      <c r="V101" s="326">
        <f t="shared" si="60"/>
        <v>0</v>
      </c>
      <c r="W101" s="326">
        <f t="shared" si="60"/>
        <v>0</v>
      </c>
      <c r="X101" s="326">
        <f t="shared" si="60"/>
        <v>0</v>
      </c>
      <c r="Y101" s="326">
        <f t="shared" si="60"/>
        <v>0</v>
      </c>
      <c r="Z101" s="326">
        <f t="shared" si="60"/>
        <v>0</v>
      </c>
      <c r="AA101" s="326">
        <f t="shared" si="60"/>
        <v>1</v>
      </c>
      <c r="AB101" s="326">
        <f t="shared" si="60"/>
        <v>0</v>
      </c>
      <c r="AC101" s="325"/>
    </row>
    <row r="102" spans="1:37" x14ac:dyDescent="0.25">
      <c r="A102" s="315"/>
      <c r="B102" s="319"/>
      <c r="C102" s="303"/>
      <c r="D102" s="303"/>
      <c r="E102" s="303"/>
      <c r="F102" s="303"/>
      <c r="G102" s="303"/>
      <c r="H102" s="303"/>
      <c r="I102" s="327">
        <f>345437.850417699/1000</f>
        <v>345.437850417699</v>
      </c>
      <c r="J102" s="317">
        <f t="shared" si="54"/>
        <v>345.437850417699</v>
      </c>
      <c r="K102" s="328">
        <f>$I102*K101</f>
        <v>0</v>
      </c>
      <c r="L102" s="328">
        <f t="shared" ref="L102:AB102" si="61">$I102*L101</f>
        <v>0</v>
      </c>
      <c r="M102" s="328">
        <f t="shared" si="61"/>
        <v>0</v>
      </c>
      <c r="N102" s="328">
        <f t="shared" si="61"/>
        <v>0</v>
      </c>
      <c r="O102" s="328">
        <f t="shared" si="61"/>
        <v>0</v>
      </c>
      <c r="P102" s="328">
        <f t="shared" si="61"/>
        <v>0</v>
      </c>
      <c r="Q102" s="328">
        <f t="shared" si="61"/>
        <v>0</v>
      </c>
      <c r="R102" s="328">
        <f t="shared" si="61"/>
        <v>0</v>
      </c>
      <c r="S102" s="328">
        <f t="shared" si="61"/>
        <v>0</v>
      </c>
      <c r="T102" s="328">
        <f t="shared" si="61"/>
        <v>0</v>
      </c>
      <c r="U102" s="328">
        <f t="shared" si="61"/>
        <v>0</v>
      </c>
      <c r="V102" s="328">
        <f t="shared" si="61"/>
        <v>0</v>
      </c>
      <c r="W102" s="328">
        <f t="shared" si="61"/>
        <v>0</v>
      </c>
      <c r="X102" s="328">
        <f t="shared" si="61"/>
        <v>0</v>
      </c>
      <c r="Y102" s="328">
        <f t="shared" si="61"/>
        <v>0</v>
      </c>
      <c r="Z102" s="328">
        <f t="shared" si="61"/>
        <v>0</v>
      </c>
      <c r="AA102" s="328">
        <f t="shared" si="61"/>
        <v>345.437850417699</v>
      </c>
      <c r="AB102" s="328">
        <f t="shared" si="61"/>
        <v>0</v>
      </c>
      <c r="AC102" s="325"/>
    </row>
    <row r="103" spans="1:37" ht="31.5" x14ac:dyDescent="0.25">
      <c r="A103" s="329" t="s">
        <v>100</v>
      </c>
      <c r="B103" s="330" t="s">
        <v>160</v>
      </c>
      <c r="C103" s="331"/>
      <c r="D103" s="331"/>
      <c r="E103" s="331"/>
      <c r="F103" s="331"/>
      <c r="G103" s="331"/>
      <c r="H103" s="331"/>
      <c r="I103" s="332">
        <f>SUM(K103:AB103)</f>
        <v>1</v>
      </c>
      <c r="J103" s="333">
        <f t="shared" si="54"/>
        <v>1</v>
      </c>
      <c r="K103" s="334">
        <f>K65</f>
        <v>0</v>
      </c>
      <c r="L103" s="334">
        <f t="shared" ref="L103:AB103" si="62">L65</f>
        <v>0</v>
      </c>
      <c r="M103" s="334">
        <f t="shared" si="62"/>
        <v>0</v>
      </c>
      <c r="N103" s="334">
        <f t="shared" si="62"/>
        <v>0</v>
      </c>
      <c r="O103" s="334">
        <f t="shared" si="62"/>
        <v>0</v>
      </c>
      <c r="P103" s="334">
        <f t="shared" si="62"/>
        <v>0</v>
      </c>
      <c r="Q103" s="334">
        <f t="shared" si="62"/>
        <v>0</v>
      </c>
      <c r="R103" s="334">
        <f t="shared" si="62"/>
        <v>0</v>
      </c>
      <c r="S103" s="334">
        <f t="shared" si="62"/>
        <v>0</v>
      </c>
      <c r="T103" s="334">
        <f t="shared" si="62"/>
        <v>0</v>
      </c>
      <c r="U103" s="334">
        <f t="shared" si="62"/>
        <v>0</v>
      </c>
      <c r="V103" s="334">
        <f t="shared" si="62"/>
        <v>0</v>
      </c>
      <c r="W103" s="334">
        <f t="shared" si="62"/>
        <v>0</v>
      </c>
      <c r="X103" s="334">
        <f t="shared" si="62"/>
        <v>0</v>
      </c>
      <c r="Y103" s="334">
        <f t="shared" si="62"/>
        <v>0</v>
      </c>
      <c r="Z103" s="334">
        <f t="shared" si="62"/>
        <v>0</v>
      </c>
      <c r="AA103" s="334">
        <f t="shared" si="62"/>
        <v>1</v>
      </c>
      <c r="AB103" s="334">
        <f t="shared" si="62"/>
        <v>0</v>
      </c>
      <c r="AC103" s="325"/>
    </row>
    <row r="104" spans="1:37" x14ac:dyDescent="0.25">
      <c r="A104" s="335"/>
      <c r="B104" s="336"/>
      <c r="C104" s="337"/>
      <c r="D104" s="337"/>
      <c r="E104" s="337"/>
      <c r="F104" s="337"/>
      <c r="G104" s="337"/>
      <c r="H104" s="337"/>
      <c r="I104" s="338">
        <v>0</v>
      </c>
      <c r="J104" s="339">
        <f t="shared" si="54"/>
        <v>0</v>
      </c>
      <c r="K104" s="328">
        <f>$I104*K103</f>
        <v>0</v>
      </c>
      <c r="L104" s="328">
        <f t="shared" ref="L104:AB104" si="63">$I104*L103</f>
        <v>0</v>
      </c>
      <c r="M104" s="328">
        <f t="shared" si="63"/>
        <v>0</v>
      </c>
      <c r="N104" s="328">
        <f t="shared" si="63"/>
        <v>0</v>
      </c>
      <c r="O104" s="328">
        <f t="shared" si="63"/>
        <v>0</v>
      </c>
      <c r="P104" s="328">
        <f t="shared" si="63"/>
        <v>0</v>
      </c>
      <c r="Q104" s="328">
        <f t="shared" si="63"/>
        <v>0</v>
      </c>
      <c r="R104" s="328">
        <f t="shared" si="63"/>
        <v>0</v>
      </c>
      <c r="S104" s="328">
        <f t="shared" si="63"/>
        <v>0</v>
      </c>
      <c r="T104" s="328">
        <f t="shared" si="63"/>
        <v>0</v>
      </c>
      <c r="U104" s="328">
        <f t="shared" si="63"/>
        <v>0</v>
      </c>
      <c r="V104" s="328">
        <f t="shared" si="63"/>
        <v>0</v>
      </c>
      <c r="W104" s="328">
        <f t="shared" si="63"/>
        <v>0</v>
      </c>
      <c r="X104" s="328">
        <f t="shared" si="63"/>
        <v>0</v>
      </c>
      <c r="Y104" s="328">
        <f t="shared" si="63"/>
        <v>0</v>
      </c>
      <c r="Z104" s="328">
        <f t="shared" si="63"/>
        <v>0</v>
      </c>
      <c r="AA104" s="328">
        <f t="shared" si="63"/>
        <v>0</v>
      </c>
      <c r="AB104" s="328">
        <f t="shared" si="63"/>
        <v>0</v>
      </c>
      <c r="AC104" s="325"/>
    </row>
    <row r="105" spans="1:37" x14ac:dyDescent="0.25">
      <c r="A105" s="315" t="s">
        <v>161</v>
      </c>
      <c r="B105" s="336" t="s">
        <v>162</v>
      </c>
      <c r="C105" s="303"/>
      <c r="D105" s="303"/>
      <c r="E105" s="303"/>
      <c r="F105" s="303"/>
      <c r="G105" s="303"/>
      <c r="H105" s="303"/>
      <c r="I105" s="320">
        <f>SUM(K105:AB105)</f>
        <v>1</v>
      </c>
      <c r="J105" s="321">
        <f t="shared" si="54"/>
        <v>1</v>
      </c>
      <c r="K105" s="326">
        <f t="shared" ref="K105:Q105" si="64">K34</f>
        <v>0</v>
      </c>
      <c r="L105" s="326">
        <f t="shared" si="64"/>
        <v>0</v>
      </c>
      <c r="M105" s="326">
        <f t="shared" si="64"/>
        <v>0</v>
      </c>
      <c r="N105" s="326">
        <f t="shared" si="64"/>
        <v>0</v>
      </c>
      <c r="O105" s="326">
        <f t="shared" si="64"/>
        <v>0</v>
      </c>
      <c r="P105" s="326">
        <f t="shared" si="64"/>
        <v>0</v>
      </c>
      <c r="Q105" s="326">
        <f t="shared" si="64"/>
        <v>0</v>
      </c>
      <c r="R105" s="326">
        <v>0</v>
      </c>
      <c r="S105" s="326">
        <f>S34</f>
        <v>0</v>
      </c>
      <c r="T105" s="326">
        <f>T106/I106</f>
        <v>0.25545200949286756</v>
      </c>
      <c r="U105" s="326">
        <v>4.1363777250396243E-2</v>
      </c>
      <c r="V105" s="326">
        <v>4.1363777250396243E-2</v>
      </c>
      <c r="W105" s="326">
        <v>0</v>
      </c>
      <c r="X105" s="326">
        <v>0</v>
      </c>
      <c r="Y105" s="326">
        <v>0.33091021800316994</v>
      </c>
      <c r="Z105" s="326">
        <v>0.33091021800316994</v>
      </c>
      <c r="AA105" s="326">
        <v>0</v>
      </c>
      <c r="AB105" s="326">
        <v>0</v>
      </c>
      <c r="AC105" s="325"/>
    </row>
    <row r="106" spans="1:37" x14ac:dyDescent="0.25">
      <c r="A106" s="315"/>
      <c r="B106" s="336"/>
      <c r="C106" s="303"/>
      <c r="D106" s="303"/>
      <c r="E106" s="303"/>
      <c r="F106" s="303"/>
      <c r="G106" s="303"/>
      <c r="H106" s="303"/>
      <c r="I106" s="305">
        <f>8819980/1000</f>
        <v>8819.98</v>
      </c>
      <c r="J106" s="317">
        <f t="shared" si="54"/>
        <v>8819.98</v>
      </c>
      <c r="K106" s="340">
        <f>$I106*K105</f>
        <v>0</v>
      </c>
      <c r="L106" s="340">
        <f t="shared" ref="L106:S106" si="65">$I106*L105</f>
        <v>0</v>
      </c>
      <c r="M106" s="340">
        <f t="shared" si="65"/>
        <v>0</v>
      </c>
      <c r="N106" s="340">
        <f t="shared" si="65"/>
        <v>0</v>
      </c>
      <c r="O106" s="340">
        <f t="shared" si="65"/>
        <v>0</v>
      </c>
      <c r="P106" s="340">
        <f t="shared" si="65"/>
        <v>0</v>
      </c>
      <c r="Q106" s="340">
        <f t="shared" si="65"/>
        <v>0</v>
      </c>
      <c r="R106" s="340">
        <v>0</v>
      </c>
      <c r="S106" s="340">
        <f t="shared" si="65"/>
        <v>0</v>
      </c>
      <c r="T106" s="340">
        <v>2253.081614686902</v>
      </c>
      <c r="U106" s="340">
        <f t="shared" ref="U106:AB106" si="66">$I106*U105</f>
        <v>364.82768807294985</v>
      </c>
      <c r="V106" s="340">
        <f t="shared" si="66"/>
        <v>364.82768807294985</v>
      </c>
      <c r="W106" s="340">
        <f t="shared" si="66"/>
        <v>0</v>
      </c>
      <c r="X106" s="340">
        <f t="shared" si="66"/>
        <v>0</v>
      </c>
      <c r="Y106" s="340">
        <f t="shared" si="66"/>
        <v>2918.6215045835988</v>
      </c>
      <c r="Z106" s="340">
        <f t="shared" si="66"/>
        <v>2918.6215045835988</v>
      </c>
      <c r="AA106" s="340">
        <f t="shared" si="66"/>
        <v>0</v>
      </c>
      <c r="AB106" s="340">
        <f t="shared" si="66"/>
        <v>0</v>
      </c>
      <c r="AC106" s="325"/>
      <c r="AK106" s="200">
        <f>I106-T106-U106-V106-W106-X106-Y106-Z106-AA106</f>
        <v>0</v>
      </c>
    </row>
    <row r="107" spans="1:37" x14ac:dyDescent="0.25">
      <c r="A107" s="315" t="s">
        <v>56</v>
      </c>
      <c r="B107" s="336" t="s">
        <v>163</v>
      </c>
      <c r="C107" s="303"/>
      <c r="D107" s="303"/>
      <c r="E107" s="303"/>
      <c r="F107" s="303"/>
      <c r="G107" s="303"/>
      <c r="H107" s="303"/>
      <c r="I107" s="320">
        <f>SUM(K107:AB107)</f>
        <v>1</v>
      </c>
      <c r="J107" s="321">
        <f t="shared" si="54"/>
        <v>1</v>
      </c>
      <c r="K107" s="326">
        <f>K44</f>
        <v>0</v>
      </c>
      <c r="L107" s="326">
        <f t="shared" ref="L107:AB107" si="67">L44</f>
        <v>0</v>
      </c>
      <c r="M107" s="326">
        <f t="shared" si="67"/>
        <v>0</v>
      </c>
      <c r="N107" s="326">
        <f t="shared" si="67"/>
        <v>0</v>
      </c>
      <c r="O107" s="326">
        <f t="shared" si="67"/>
        <v>0</v>
      </c>
      <c r="P107" s="326">
        <f t="shared" si="67"/>
        <v>0</v>
      </c>
      <c r="Q107" s="326">
        <f t="shared" si="67"/>
        <v>0</v>
      </c>
      <c r="R107" s="326">
        <f t="shared" si="67"/>
        <v>0</v>
      </c>
      <c r="S107" s="326">
        <f t="shared" si="67"/>
        <v>0</v>
      </c>
      <c r="T107" s="326">
        <f t="shared" si="67"/>
        <v>0</v>
      </c>
      <c r="U107" s="326">
        <f t="shared" si="67"/>
        <v>0</v>
      </c>
      <c r="V107" s="326">
        <f t="shared" si="67"/>
        <v>0</v>
      </c>
      <c r="W107" s="326">
        <f t="shared" si="67"/>
        <v>0</v>
      </c>
      <c r="X107" s="326">
        <f t="shared" si="67"/>
        <v>0</v>
      </c>
      <c r="Y107" s="326">
        <f t="shared" si="67"/>
        <v>0.5</v>
      </c>
      <c r="Z107" s="326">
        <f t="shared" si="67"/>
        <v>0.5</v>
      </c>
      <c r="AA107" s="326">
        <f t="shared" si="67"/>
        <v>0</v>
      </c>
      <c r="AB107" s="326">
        <f t="shared" si="67"/>
        <v>0</v>
      </c>
      <c r="AC107" s="325"/>
      <c r="AK107" s="200">
        <f>T106+AK106</f>
        <v>2253.081614686902</v>
      </c>
    </row>
    <row r="108" spans="1:37" x14ac:dyDescent="0.25">
      <c r="A108" s="315"/>
      <c r="B108" s="336"/>
      <c r="C108" s="303"/>
      <c r="D108" s="303"/>
      <c r="E108" s="303"/>
      <c r="F108" s="303"/>
      <c r="G108" s="303"/>
      <c r="H108" s="303"/>
      <c r="I108" s="305">
        <f>989948.4356/1000</f>
        <v>989.94843559999993</v>
      </c>
      <c r="J108" s="317">
        <f t="shared" si="54"/>
        <v>989.94843559999993</v>
      </c>
      <c r="K108" s="340">
        <f>$I108*K107</f>
        <v>0</v>
      </c>
      <c r="L108" s="340">
        <f t="shared" ref="L108:AB108" si="68">$I108*L107</f>
        <v>0</v>
      </c>
      <c r="M108" s="340">
        <f t="shared" si="68"/>
        <v>0</v>
      </c>
      <c r="N108" s="340">
        <f t="shared" si="68"/>
        <v>0</v>
      </c>
      <c r="O108" s="340">
        <f t="shared" si="68"/>
        <v>0</v>
      </c>
      <c r="P108" s="340">
        <f t="shared" si="68"/>
        <v>0</v>
      </c>
      <c r="Q108" s="340">
        <f t="shared" si="68"/>
        <v>0</v>
      </c>
      <c r="R108" s="340">
        <f t="shared" si="68"/>
        <v>0</v>
      </c>
      <c r="S108" s="340">
        <f t="shared" si="68"/>
        <v>0</v>
      </c>
      <c r="T108" s="340">
        <f t="shared" si="68"/>
        <v>0</v>
      </c>
      <c r="U108" s="340">
        <f t="shared" si="68"/>
        <v>0</v>
      </c>
      <c r="V108" s="340">
        <f t="shared" si="68"/>
        <v>0</v>
      </c>
      <c r="W108" s="340">
        <f t="shared" si="68"/>
        <v>0</v>
      </c>
      <c r="X108" s="340">
        <f t="shared" si="68"/>
        <v>0</v>
      </c>
      <c r="Y108" s="340">
        <f t="shared" si="68"/>
        <v>494.97421779999996</v>
      </c>
      <c r="Z108" s="340">
        <f t="shared" si="68"/>
        <v>494.97421779999996</v>
      </c>
      <c r="AA108" s="340">
        <f t="shared" si="68"/>
        <v>0</v>
      </c>
      <c r="AB108" s="340">
        <f t="shared" si="68"/>
        <v>0</v>
      </c>
      <c r="AC108" s="325"/>
    </row>
    <row r="109" spans="1:37" x14ac:dyDescent="0.25">
      <c r="A109" s="315" t="s">
        <v>59</v>
      </c>
      <c r="B109" s="336" t="s">
        <v>164</v>
      </c>
      <c r="C109" s="303"/>
      <c r="D109" s="303"/>
      <c r="E109" s="303"/>
      <c r="F109" s="303"/>
      <c r="G109" s="303"/>
      <c r="H109" s="303"/>
      <c r="I109" s="320">
        <f>SUM(K109:AB109)</f>
        <v>1</v>
      </c>
      <c r="J109" s="321">
        <f t="shared" si="54"/>
        <v>1</v>
      </c>
      <c r="K109" s="326">
        <f>K48</f>
        <v>0</v>
      </c>
      <c r="L109" s="326">
        <f t="shared" ref="L109:AB109" si="69">L48</f>
        <v>0</v>
      </c>
      <c r="M109" s="326">
        <f t="shared" si="69"/>
        <v>0</v>
      </c>
      <c r="N109" s="326">
        <f t="shared" si="69"/>
        <v>0</v>
      </c>
      <c r="O109" s="326">
        <f t="shared" si="69"/>
        <v>0</v>
      </c>
      <c r="P109" s="326">
        <f t="shared" si="69"/>
        <v>0</v>
      </c>
      <c r="Q109" s="326">
        <f t="shared" si="69"/>
        <v>0</v>
      </c>
      <c r="R109" s="326">
        <f t="shared" si="69"/>
        <v>0</v>
      </c>
      <c r="S109" s="326">
        <f t="shared" si="69"/>
        <v>0</v>
      </c>
      <c r="T109" s="326">
        <f t="shared" si="69"/>
        <v>0</v>
      </c>
      <c r="U109" s="326">
        <f t="shared" si="69"/>
        <v>0</v>
      </c>
      <c r="V109" s="326">
        <f t="shared" si="69"/>
        <v>0</v>
      </c>
      <c r="W109" s="326">
        <f t="shared" si="69"/>
        <v>0</v>
      </c>
      <c r="X109" s="326">
        <f t="shared" si="69"/>
        <v>0</v>
      </c>
      <c r="Y109" s="326">
        <f t="shared" si="69"/>
        <v>0.5</v>
      </c>
      <c r="Z109" s="326">
        <f t="shared" si="69"/>
        <v>0.5</v>
      </c>
      <c r="AA109" s="326">
        <f t="shared" si="69"/>
        <v>0</v>
      </c>
      <c r="AB109" s="326">
        <f t="shared" si="69"/>
        <v>0</v>
      </c>
      <c r="AC109" s="325"/>
    </row>
    <row r="110" spans="1:37" x14ac:dyDescent="0.25">
      <c r="A110" s="315"/>
      <c r="B110" s="336"/>
      <c r="C110" s="303"/>
      <c r="D110" s="303"/>
      <c r="E110" s="303"/>
      <c r="F110" s="303"/>
      <c r="G110" s="303"/>
      <c r="H110" s="303"/>
      <c r="I110" s="305">
        <f>4254841.15/1000</f>
        <v>4254.8411500000002</v>
      </c>
      <c r="J110" s="317">
        <f t="shared" si="54"/>
        <v>4254.8411500000002</v>
      </c>
      <c r="K110" s="323">
        <f>$I110*K109</f>
        <v>0</v>
      </c>
      <c r="L110" s="323">
        <f t="shared" ref="L110:AB110" si="70">$I110*L109</f>
        <v>0</v>
      </c>
      <c r="M110" s="323">
        <f t="shared" si="70"/>
        <v>0</v>
      </c>
      <c r="N110" s="323">
        <f t="shared" si="70"/>
        <v>0</v>
      </c>
      <c r="O110" s="323">
        <f t="shared" si="70"/>
        <v>0</v>
      </c>
      <c r="P110" s="323">
        <f t="shared" si="70"/>
        <v>0</v>
      </c>
      <c r="Q110" s="323">
        <f t="shared" si="70"/>
        <v>0</v>
      </c>
      <c r="R110" s="323">
        <f t="shared" si="70"/>
        <v>0</v>
      </c>
      <c r="S110" s="323">
        <f t="shared" si="70"/>
        <v>0</v>
      </c>
      <c r="T110" s="323">
        <f t="shared" si="70"/>
        <v>0</v>
      </c>
      <c r="U110" s="323">
        <f t="shared" si="70"/>
        <v>0</v>
      </c>
      <c r="V110" s="323">
        <f t="shared" si="70"/>
        <v>0</v>
      </c>
      <c r="W110" s="323">
        <f t="shared" si="70"/>
        <v>0</v>
      </c>
      <c r="X110" s="323">
        <f t="shared" si="70"/>
        <v>0</v>
      </c>
      <c r="Y110" s="340">
        <f t="shared" si="70"/>
        <v>2127.4205750000001</v>
      </c>
      <c r="Z110" s="340">
        <f t="shared" si="70"/>
        <v>2127.4205750000001</v>
      </c>
      <c r="AA110" s="323">
        <f t="shared" si="70"/>
        <v>0</v>
      </c>
      <c r="AB110" s="323">
        <f t="shared" si="70"/>
        <v>0</v>
      </c>
      <c r="AC110" s="325"/>
    </row>
    <row r="111" spans="1:37" x14ac:dyDescent="0.25">
      <c r="A111" s="315" t="s">
        <v>58</v>
      </c>
      <c r="B111" s="336" t="s">
        <v>165</v>
      </c>
      <c r="C111" s="303"/>
      <c r="D111" s="303"/>
      <c r="E111" s="303"/>
      <c r="F111" s="303"/>
      <c r="G111" s="303"/>
      <c r="H111" s="303"/>
      <c r="I111" s="320">
        <f>SUM(K111:AB111)</f>
        <v>1</v>
      </c>
      <c r="J111" s="321">
        <f t="shared" si="54"/>
        <v>1</v>
      </c>
      <c r="K111" s="326">
        <f>K46</f>
        <v>0</v>
      </c>
      <c r="L111" s="326">
        <f t="shared" ref="L111:AB111" si="71">L46</f>
        <v>0</v>
      </c>
      <c r="M111" s="326">
        <f t="shared" si="71"/>
        <v>0</v>
      </c>
      <c r="N111" s="326">
        <f t="shared" si="71"/>
        <v>0</v>
      </c>
      <c r="O111" s="326">
        <f t="shared" si="71"/>
        <v>0</v>
      </c>
      <c r="P111" s="326">
        <f t="shared" si="71"/>
        <v>0</v>
      </c>
      <c r="Q111" s="326">
        <f t="shared" si="71"/>
        <v>0</v>
      </c>
      <c r="R111" s="326">
        <f t="shared" si="71"/>
        <v>0</v>
      </c>
      <c r="S111" s="326">
        <f t="shared" si="71"/>
        <v>0</v>
      </c>
      <c r="T111" s="326">
        <f t="shared" si="71"/>
        <v>0</v>
      </c>
      <c r="U111" s="326">
        <f t="shared" si="71"/>
        <v>0</v>
      </c>
      <c r="V111" s="326">
        <f t="shared" si="71"/>
        <v>0</v>
      </c>
      <c r="W111" s="326">
        <f t="shared" si="71"/>
        <v>0</v>
      </c>
      <c r="X111" s="326">
        <f t="shared" si="71"/>
        <v>0</v>
      </c>
      <c r="Y111" s="326">
        <f t="shared" si="71"/>
        <v>0.5</v>
      </c>
      <c r="Z111" s="326">
        <f t="shared" si="71"/>
        <v>0.5</v>
      </c>
      <c r="AA111" s="326">
        <f t="shared" si="71"/>
        <v>0</v>
      </c>
      <c r="AB111" s="326">
        <f t="shared" si="71"/>
        <v>0</v>
      </c>
      <c r="AC111" s="325"/>
    </row>
    <row r="112" spans="1:37" x14ac:dyDescent="0.25">
      <c r="A112" s="315"/>
      <c r="B112" s="336"/>
      <c r="C112" s="303"/>
      <c r="D112" s="303"/>
      <c r="E112" s="303"/>
      <c r="F112" s="303"/>
      <c r="G112" s="303"/>
      <c r="H112" s="303"/>
      <c r="I112" s="305">
        <f>134187.757/1000</f>
        <v>134.187757</v>
      </c>
      <c r="J112" s="317">
        <f t="shared" si="54"/>
        <v>134.187757</v>
      </c>
      <c r="K112" s="340">
        <f>$I112*K111</f>
        <v>0</v>
      </c>
      <c r="L112" s="340">
        <f t="shared" ref="L112:AB112" si="72">$I112*L111</f>
        <v>0</v>
      </c>
      <c r="M112" s="340">
        <f t="shared" si="72"/>
        <v>0</v>
      </c>
      <c r="N112" s="340">
        <f t="shared" si="72"/>
        <v>0</v>
      </c>
      <c r="O112" s="340">
        <f t="shared" si="72"/>
        <v>0</v>
      </c>
      <c r="P112" s="340">
        <f t="shared" si="72"/>
        <v>0</v>
      </c>
      <c r="Q112" s="340">
        <f t="shared" si="72"/>
        <v>0</v>
      </c>
      <c r="R112" s="340">
        <f t="shared" si="72"/>
        <v>0</v>
      </c>
      <c r="S112" s="340">
        <f t="shared" si="72"/>
        <v>0</v>
      </c>
      <c r="T112" s="340">
        <f t="shared" si="72"/>
        <v>0</v>
      </c>
      <c r="U112" s="340">
        <f t="shared" si="72"/>
        <v>0</v>
      </c>
      <c r="V112" s="340">
        <f t="shared" si="72"/>
        <v>0</v>
      </c>
      <c r="W112" s="340">
        <f t="shared" si="72"/>
        <v>0</v>
      </c>
      <c r="X112" s="340">
        <f t="shared" si="72"/>
        <v>0</v>
      </c>
      <c r="Y112" s="340">
        <f t="shared" si="72"/>
        <v>67.093878500000002</v>
      </c>
      <c r="Z112" s="340">
        <f t="shared" si="72"/>
        <v>67.093878500000002</v>
      </c>
      <c r="AA112" s="340">
        <f t="shared" si="72"/>
        <v>0</v>
      </c>
      <c r="AB112" s="340">
        <f t="shared" si="72"/>
        <v>0</v>
      </c>
      <c r="AC112" s="325"/>
    </row>
    <row r="113" spans="1:29" x14ac:dyDescent="0.25">
      <c r="A113" s="315" t="s">
        <v>166</v>
      </c>
      <c r="B113" s="336" t="s">
        <v>167</v>
      </c>
      <c r="C113" s="303"/>
      <c r="D113" s="303"/>
      <c r="E113" s="303"/>
      <c r="F113" s="303"/>
      <c r="G113" s="303"/>
      <c r="H113" s="303"/>
      <c r="I113" s="320">
        <f>SUM(K113:AB113)</f>
        <v>1</v>
      </c>
      <c r="J113" s="321">
        <f t="shared" si="54"/>
        <v>1</v>
      </c>
      <c r="K113" s="326">
        <f>K38</f>
        <v>0</v>
      </c>
      <c r="L113" s="326">
        <f t="shared" ref="L113:AB113" si="73">L38</f>
        <v>0</v>
      </c>
      <c r="M113" s="326">
        <f t="shared" si="73"/>
        <v>0</v>
      </c>
      <c r="N113" s="326">
        <f t="shared" si="73"/>
        <v>0</v>
      </c>
      <c r="O113" s="326">
        <f t="shared" si="73"/>
        <v>0</v>
      </c>
      <c r="P113" s="326">
        <f t="shared" si="73"/>
        <v>0</v>
      </c>
      <c r="Q113" s="326">
        <f t="shared" si="73"/>
        <v>0</v>
      </c>
      <c r="R113" s="326">
        <f t="shared" si="73"/>
        <v>0</v>
      </c>
      <c r="S113" s="326">
        <f t="shared" si="73"/>
        <v>0</v>
      </c>
      <c r="T113" s="326">
        <f t="shared" si="73"/>
        <v>0</v>
      </c>
      <c r="U113" s="326">
        <f t="shared" si="73"/>
        <v>0</v>
      </c>
      <c r="V113" s="326">
        <f t="shared" si="73"/>
        <v>0</v>
      </c>
      <c r="W113" s="326">
        <f t="shared" si="73"/>
        <v>0</v>
      </c>
      <c r="X113" s="326">
        <f t="shared" si="73"/>
        <v>0</v>
      </c>
      <c r="Y113" s="326">
        <f t="shared" si="73"/>
        <v>0.2</v>
      </c>
      <c r="Z113" s="326">
        <f t="shared" si="73"/>
        <v>0.8</v>
      </c>
      <c r="AA113" s="326">
        <f t="shared" si="73"/>
        <v>0</v>
      </c>
      <c r="AB113" s="326">
        <f t="shared" si="73"/>
        <v>0</v>
      </c>
      <c r="AC113" s="325"/>
    </row>
    <row r="114" spans="1:29" x14ac:dyDescent="0.25">
      <c r="A114" s="341"/>
      <c r="B114" s="342"/>
      <c r="C114" s="303"/>
      <c r="D114" s="303"/>
      <c r="E114" s="303"/>
      <c r="F114" s="303"/>
      <c r="G114" s="303"/>
      <c r="H114" s="303"/>
      <c r="I114" s="343">
        <f>34484.81/1000</f>
        <v>34.484809999999996</v>
      </c>
      <c r="J114" s="344">
        <f t="shared" si="54"/>
        <v>34.484809999999996</v>
      </c>
      <c r="K114" s="345">
        <f>$I114*K113</f>
        <v>0</v>
      </c>
      <c r="L114" s="345">
        <f t="shared" ref="L114:AB114" si="74">$I114*L113</f>
        <v>0</v>
      </c>
      <c r="M114" s="345">
        <f t="shared" si="74"/>
        <v>0</v>
      </c>
      <c r="N114" s="345">
        <f t="shared" si="74"/>
        <v>0</v>
      </c>
      <c r="O114" s="345">
        <f t="shared" si="74"/>
        <v>0</v>
      </c>
      <c r="P114" s="345">
        <f t="shared" si="74"/>
        <v>0</v>
      </c>
      <c r="Q114" s="345">
        <f t="shared" si="74"/>
        <v>0</v>
      </c>
      <c r="R114" s="345">
        <f t="shared" si="74"/>
        <v>0</v>
      </c>
      <c r="S114" s="345">
        <f t="shared" si="74"/>
        <v>0</v>
      </c>
      <c r="T114" s="345">
        <f t="shared" si="74"/>
        <v>0</v>
      </c>
      <c r="U114" s="345">
        <f t="shared" si="74"/>
        <v>0</v>
      </c>
      <c r="V114" s="345">
        <f t="shared" si="74"/>
        <v>0</v>
      </c>
      <c r="W114" s="345">
        <f t="shared" si="74"/>
        <v>0</v>
      </c>
      <c r="X114" s="345">
        <f t="shared" si="74"/>
        <v>0</v>
      </c>
      <c r="Y114" s="346">
        <f t="shared" si="74"/>
        <v>6.8969619999999994</v>
      </c>
      <c r="Z114" s="346">
        <f t="shared" si="74"/>
        <v>27.587847999999997</v>
      </c>
      <c r="AA114" s="345">
        <f t="shared" si="74"/>
        <v>0</v>
      </c>
      <c r="AB114" s="345">
        <f t="shared" si="74"/>
        <v>0</v>
      </c>
      <c r="AC114" s="347"/>
    </row>
    <row r="115" spans="1:29" ht="25.5" customHeight="1" x14ac:dyDescent="0.25">
      <c r="A115" s="348"/>
      <c r="B115" s="349" t="s">
        <v>168</v>
      </c>
      <c r="C115" s="325"/>
      <c r="D115" s="325"/>
      <c r="E115" s="325"/>
      <c r="F115" s="325"/>
      <c r="G115" s="325"/>
      <c r="H115" s="325"/>
      <c r="I115" s="350">
        <f>I98+I100+I102+I104+I106+I108+I110+I112+I114</f>
        <v>68550.103300961317</v>
      </c>
      <c r="J115" s="305">
        <f t="shared" si="54"/>
        <v>68550.103300961302</v>
      </c>
      <c r="K115" s="340">
        <f>K98+K100+K102+K104+K106+K108+K110+K112+K114</f>
        <v>0</v>
      </c>
      <c r="L115" s="340">
        <f t="shared" ref="L115:AB115" si="75">L98+L100+L102+L104+L106+L108+L110+L112+L114</f>
        <v>0</v>
      </c>
      <c r="M115" s="340">
        <f t="shared" si="75"/>
        <v>0</v>
      </c>
      <c r="N115" s="340">
        <f t="shared" si="75"/>
        <v>0</v>
      </c>
      <c r="O115" s="340">
        <f t="shared" si="75"/>
        <v>0</v>
      </c>
      <c r="P115" s="340">
        <f t="shared" si="75"/>
        <v>0</v>
      </c>
      <c r="Q115" s="340">
        <f t="shared" si="75"/>
        <v>0</v>
      </c>
      <c r="R115" s="340">
        <f t="shared" si="75"/>
        <v>0</v>
      </c>
      <c r="S115" s="340">
        <f t="shared" si="75"/>
        <v>0</v>
      </c>
      <c r="T115" s="340">
        <f t="shared" si="75"/>
        <v>19312.193619515449</v>
      </c>
      <c r="U115" s="340">
        <f t="shared" si="75"/>
        <v>5344.3419032452002</v>
      </c>
      <c r="V115" s="340">
        <f t="shared" si="75"/>
        <v>5344.3419032452002</v>
      </c>
      <c r="W115" s="340">
        <f t="shared" si="75"/>
        <v>4979.5142151722503</v>
      </c>
      <c r="X115" s="340">
        <f t="shared" si="75"/>
        <v>6224.3927689653101</v>
      </c>
      <c r="Y115" s="340">
        <f t="shared" si="75"/>
        <v>13697.074836165615</v>
      </c>
      <c r="Z115" s="340">
        <f t="shared" si="75"/>
        <v>13302.806204234583</v>
      </c>
      <c r="AA115" s="340">
        <f t="shared" si="75"/>
        <v>345.437850417699</v>
      </c>
      <c r="AB115" s="340">
        <f t="shared" si="75"/>
        <v>0</v>
      </c>
      <c r="AC115" s="325"/>
    </row>
    <row r="118" spans="1:29" ht="21" customHeight="1" x14ac:dyDescent="0.25">
      <c r="B118" s="351" t="s">
        <v>174</v>
      </c>
      <c r="C118" s="351"/>
      <c r="D118" s="351"/>
      <c r="E118" s="351"/>
      <c r="F118" s="351"/>
      <c r="G118" s="351"/>
      <c r="H118" s="351"/>
      <c r="I118" s="352">
        <f>I115*1000</f>
        <v>68550103.300961316</v>
      </c>
      <c r="J118" s="352">
        <f t="shared" ref="J118:AB118" si="76">J115*1000</f>
        <v>68550103.300961301</v>
      </c>
      <c r="K118" s="352">
        <f t="shared" si="76"/>
        <v>0</v>
      </c>
      <c r="L118" s="352">
        <f t="shared" si="76"/>
        <v>0</v>
      </c>
      <c r="M118" s="352">
        <f t="shared" si="76"/>
        <v>0</v>
      </c>
      <c r="N118" s="352">
        <f t="shared" si="76"/>
        <v>0</v>
      </c>
      <c r="O118" s="352">
        <f t="shared" si="76"/>
        <v>0</v>
      </c>
      <c r="P118" s="352">
        <f t="shared" si="76"/>
        <v>0</v>
      </c>
      <c r="Q118" s="352">
        <f t="shared" si="76"/>
        <v>0</v>
      </c>
      <c r="R118" s="352">
        <f t="shared" si="76"/>
        <v>0</v>
      </c>
      <c r="S118" s="352">
        <f t="shared" si="76"/>
        <v>0</v>
      </c>
      <c r="T118" s="352">
        <f t="shared" si="76"/>
        <v>19312193.619515449</v>
      </c>
      <c r="U118" s="352">
        <f t="shared" si="76"/>
        <v>5344341.9032452004</v>
      </c>
      <c r="V118" s="352">
        <f t="shared" si="76"/>
        <v>5344341.9032452004</v>
      </c>
      <c r="W118" s="352">
        <f t="shared" si="76"/>
        <v>4979514.2151722498</v>
      </c>
      <c r="X118" s="352">
        <f t="shared" si="76"/>
        <v>6224392.7689653104</v>
      </c>
      <c r="Y118" s="352">
        <f t="shared" si="76"/>
        <v>13697074.836165614</v>
      </c>
      <c r="Z118" s="352">
        <f t="shared" si="76"/>
        <v>13302806.204234583</v>
      </c>
      <c r="AA118" s="352">
        <f t="shared" si="76"/>
        <v>345437.85041769902</v>
      </c>
      <c r="AB118" s="352">
        <f t="shared" si="76"/>
        <v>0</v>
      </c>
    </row>
    <row r="119" spans="1:29" x14ac:dyDescent="0.25"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</row>
    <row r="120" spans="1:29" x14ac:dyDescent="0.25">
      <c r="J120" s="3">
        <f>J118*1.2</f>
        <v>82260123.961153552</v>
      </c>
      <c r="V120" s="200">
        <f>T118+U118+V118</f>
        <v>30000877.426005848</v>
      </c>
      <c r="Y120" s="200"/>
      <c r="Z120" s="200"/>
      <c r="AA120" s="200"/>
      <c r="AB120" s="200">
        <f>W118+X118+Y118+Z118+AA118</f>
        <v>38549225.874955453</v>
      </c>
    </row>
    <row r="121" spans="1:29" x14ac:dyDescent="0.25"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200"/>
    </row>
    <row r="122" spans="1:29" x14ac:dyDescent="0.25">
      <c r="U122" s="200"/>
      <c r="V122" s="200"/>
      <c r="W122" s="200"/>
      <c r="X122" s="200"/>
      <c r="Y122" s="200"/>
      <c r="Z122" s="200"/>
      <c r="AA122" s="200"/>
      <c r="AB122" s="200"/>
    </row>
    <row r="124" spans="1:29" x14ac:dyDescent="0.25">
      <c r="Y124" s="200"/>
      <c r="Z124" s="200"/>
      <c r="AA124" s="200"/>
    </row>
    <row r="126" spans="1:29" x14ac:dyDescent="0.25">
      <c r="W126" s="200">
        <f>W89+W118</f>
        <v>16202017.679033235</v>
      </c>
      <c r="X126" s="200">
        <f t="shared" ref="X126:AB126" si="77">X89+X118</f>
        <v>19914348.256210905</v>
      </c>
      <c r="Y126" s="200">
        <f t="shared" si="77"/>
        <v>26491133.479436863</v>
      </c>
      <c r="Z126" s="200">
        <f t="shared" si="77"/>
        <v>25293551.213710964</v>
      </c>
      <c r="AA126" s="200">
        <f t="shared" si="77"/>
        <v>6640311.9371332182</v>
      </c>
      <c r="AB126" s="200">
        <f t="shared" si="77"/>
        <v>0</v>
      </c>
    </row>
    <row r="128" spans="1:29" x14ac:dyDescent="0.25">
      <c r="Y128" s="200"/>
    </row>
  </sheetData>
  <mergeCells count="11">
    <mergeCell ref="B34:B35"/>
    <mergeCell ref="A15:V15"/>
    <mergeCell ref="I20:V21"/>
    <mergeCell ref="AD20:AD21"/>
    <mergeCell ref="AE20:AE21"/>
    <mergeCell ref="B32:B33"/>
    <mergeCell ref="B51:B52"/>
    <mergeCell ref="B53:B54"/>
    <mergeCell ref="B63:B64"/>
    <mergeCell ref="B65:B66"/>
    <mergeCell ref="B69:B7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N118"/>
  <sheetViews>
    <sheetView topLeftCell="A33" zoomScale="55" zoomScaleNormal="55" workbookViewId="0">
      <selection activeCell="X73" sqref="X73"/>
    </sheetView>
  </sheetViews>
  <sheetFormatPr defaultColWidth="8.7109375" defaultRowHeight="15.75" outlineLevelRow="1" x14ac:dyDescent="0.25"/>
  <cols>
    <col min="1" max="1" width="7.28515625" style="1" customWidth="1"/>
    <col min="2" max="2" width="61" style="2" customWidth="1"/>
    <col min="3" max="4" width="7.7109375" style="2" hidden="1" customWidth="1"/>
    <col min="5" max="5" width="14" style="2" hidden="1" customWidth="1"/>
    <col min="6" max="6" width="0.140625" style="2" customWidth="1"/>
    <col min="7" max="7" width="0.28515625" style="2" customWidth="1"/>
    <col min="8" max="8" width="9.28515625" style="2" hidden="1" customWidth="1"/>
    <col min="9" max="9" width="22" style="3" customWidth="1"/>
    <col min="10" max="10" width="17.42578125" style="3" customWidth="1"/>
    <col min="11" max="11" width="21.140625" style="2" customWidth="1"/>
    <col min="12" max="12" width="10.85546875" style="2" customWidth="1"/>
    <col min="13" max="13" width="16" style="2" customWidth="1"/>
    <col min="14" max="15" width="15.5703125" style="2" bestFit="1" customWidth="1"/>
    <col min="16" max="16" width="16.140625" style="2" bestFit="1" customWidth="1"/>
    <col min="17" max="17" width="18.5703125" style="2" customWidth="1"/>
    <col min="18" max="18" width="19.42578125" style="2" customWidth="1"/>
    <col min="19" max="19" width="18" style="2" customWidth="1"/>
    <col min="20" max="20" width="21.140625" style="2" customWidth="1"/>
    <col min="21" max="21" width="19.7109375" style="2" customWidth="1"/>
    <col min="22" max="22" width="23.5703125" style="2" customWidth="1"/>
    <col min="23" max="23" width="21.28515625" style="2" customWidth="1"/>
    <col min="24" max="24" width="19.85546875" style="2" customWidth="1"/>
    <col min="25" max="25" width="22" style="2" customWidth="1"/>
    <col min="26" max="26" width="20.7109375" style="2" customWidth="1"/>
    <col min="27" max="27" width="20.5703125" style="2" customWidth="1"/>
    <col min="28" max="28" width="20.28515625" style="2" customWidth="1"/>
    <col min="29" max="29" width="22.7109375" style="2" customWidth="1"/>
    <col min="30" max="30" width="8.7109375" style="2" customWidth="1"/>
    <col min="31" max="31" width="16.28515625" style="2" customWidth="1"/>
    <col min="32" max="32" width="8.7109375" style="2" customWidth="1"/>
    <col min="33" max="33" width="11" style="2" customWidth="1"/>
    <col min="34" max="35" width="12.85546875" style="2" customWidth="1"/>
    <col min="36" max="36" width="8.7109375" style="2"/>
    <col min="37" max="37" width="26.140625" style="2" customWidth="1"/>
    <col min="38" max="38" width="8.7109375" style="2"/>
    <col min="39" max="39" width="18" style="2" customWidth="1"/>
    <col min="40" max="40" width="16.85546875" style="2" customWidth="1"/>
    <col min="41" max="16384" width="8.7109375" style="2"/>
  </cols>
  <sheetData>
    <row r="1" spans="1:30" ht="15.75" hidden="1" customHeight="1" x14ac:dyDescent="0.25">
      <c r="K1" s="160" t="s">
        <v>124</v>
      </c>
    </row>
    <row r="2" spans="1:30" ht="20.25" hidden="1" customHeight="1" x14ac:dyDescent="0.3">
      <c r="B2" s="4" t="s">
        <v>0</v>
      </c>
      <c r="K2" s="160" t="s">
        <v>125</v>
      </c>
      <c r="AD2" s="5" t="s">
        <v>1</v>
      </c>
    </row>
    <row r="3" spans="1:30" ht="20.25" hidden="1" customHeight="1" x14ac:dyDescent="0.3">
      <c r="B3" s="6" t="s">
        <v>2</v>
      </c>
      <c r="K3" s="160" t="s">
        <v>39</v>
      </c>
      <c r="AD3" s="7" t="s">
        <v>3</v>
      </c>
    </row>
    <row r="4" spans="1:30" ht="20.25" hidden="1" customHeight="1" x14ac:dyDescent="0.3">
      <c r="B4" s="6" t="s">
        <v>4</v>
      </c>
      <c r="K4" s="160" t="s">
        <v>54</v>
      </c>
      <c r="AD4" s="7" t="s">
        <v>5</v>
      </c>
    </row>
    <row r="5" spans="1:30" ht="20.25" hidden="1" customHeight="1" x14ac:dyDescent="0.3">
      <c r="B5" s="6" t="s">
        <v>6</v>
      </c>
      <c r="K5" s="160" t="s">
        <v>55</v>
      </c>
      <c r="AD5" s="7" t="s">
        <v>6</v>
      </c>
    </row>
    <row r="6" spans="1:30" ht="20.25" hidden="1" customHeight="1" x14ac:dyDescent="0.3">
      <c r="A6" s="8"/>
      <c r="B6" s="6"/>
      <c r="F6" s="9"/>
    </row>
    <row r="7" spans="1:30" ht="20.25" hidden="1" customHeight="1" x14ac:dyDescent="0.3">
      <c r="A7" s="8"/>
      <c r="B7" s="6" t="s">
        <v>7</v>
      </c>
      <c r="F7" s="9"/>
    </row>
    <row r="8" spans="1:30" ht="20.25" hidden="1" customHeight="1" x14ac:dyDescent="0.3">
      <c r="A8" s="8"/>
      <c r="B8" s="6" t="s">
        <v>8</v>
      </c>
      <c r="F8" s="9"/>
    </row>
    <row r="9" spans="1:30" ht="20.25" hidden="1" customHeight="1" x14ac:dyDescent="0.3">
      <c r="A9" s="8"/>
      <c r="B9" s="6" t="s">
        <v>6</v>
      </c>
      <c r="F9" s="9"/>
    </row>
    <row r="10" spans="1:30" ht="20.25" hidden="1" customHeight="1" x14ac:dyDescent="0.3">
      <c r="A10" s="8"/>
      <c r="B10" s="6"/>
      <c r="F10" s="9"/>
    </row>
    <row r="11" spans="1:30" ht="20.25" hidden="1" customHeight="1" x14ac:dyDescent="0.3">
      <c r="A11" s="8"/>
      <c r="B11" s="6" t="s">
        <v>9</v>
      </c>
      <c r="F11" s="9"/>
    </row>
    <row r="12" spans="1:30" ht="20.25" hidden="1" customHeight="1" x14ac:dyDescent="0.3">
      <c r="A12" s="8"/>
      <c r="B12" s="6" t="s">
        <v>10</v>
      </c>
      <c r="F12" s="9"/>
    </row>
    <row r="13" spans="1:30" ht="20.25" hidden="1" customHeight="1" x14ac:dyDescent="0.3">
      <c r="A13" s="8"/>
      <c r="B13" s="6" t="s">
        <v>6</v>
      </c>
      <c r="F13" s="9"/>
    </row>
    <row r="14" spans="1:30" ht="18.75" hidden="1" customHeight="1" x14ac:dyDescent="0.3">
      <c r="A14" s="8"/>
      <c r="B14" s="10"/>
      <c r="E14" s="11"/>
      <c r="F14" s="9"/>
      <c r="N14" s="11"/>
    </row>
    <row r="15" spans="1:30" ht="30.75" customHeight="1" x14ac:dyDescent="0.25">
      <c r="A15" s="558" t="s">
        <v>146</v>
      </c>
      <c r="B15" s="559"/>
      <c r="C15" s="559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59"/>
      <c r="O15" s="559"/>
      <c r="P15" s="559"/>
      <c r="Q15" s="559"/>
      <c r="R15" s="559"/>
      <c r="S15" s="559"/>
      <c r="T15" s="559"/>
      <c r="U15" s="559"/>
      <c r="V15" s="559"/>
      <c r="W15" s="559"/>
      <c r="X15" s="559"/>
      <c r="Y15" s="559"/>
      <c r="Z15" s="559"/>
      <c r="AA15" s="559"/>
      <c r="AB15" s="559"/>
      <c r="AC15" s="559"/>
    </row>
    <row r="16" spans="1:30" s="17" customFormat="1" x14ac:dyDescent="0.2">
      <c r="A16" s="13"/>
      <c r="B16" s="14"/>
      <c r="C16" s="15"/>
      <c r="D16" s="15"/>
      <c r="E16" s="15"/>
      <c r="F16" s="15"/>
      <c r="G16" s="15"/>
      <c r="H16" s="15"/>
      <c r="I16" s="16"/>
      <c r="J16" s="16"/>
      <c r="K16" s="15"/>
      <c r="L16" s="15"/>
      <c r="M16" s="15"/>
      <c r="S16" s="257">
        <f>T36+S17</f>
        <v>0.17198190351561055</v>
      </c>
    </row>
    <row r="17" spans="1:40" s="18" customFormat="1" ht="18.75" customHeight="1" x14ac:dyDescent="0.25">
      <c r="B17" s="19" t="s">
        <v>150</v>
      </c>
      <c r="C17" s="20"/>
      <c r="D17" s="20"/>
      <c r="E17" s="20"/>
      <c r="F17" s="20"/>
      <c r="G17" s="20"/>
      <c r="H17" s="20"/>
      <c r="I17" s="143"/>
      <c r="J17" s="176"/>
      <c r="K17" s="176"/>
      <c r="L17" s="20"/>
      <c r="M17" s="20"/>
      <c r="N17" s="255"/>
      <c r="O17" s="20"/>
      <c r="P17" s="20"/>
      <c r="Q17" s="235"/>
      <c r="R17" s="242"/>
      <c r="S17" s="242"/>
      <c r="T17" s="242"/>
      <c r="U17" s="242"/>
    </row>
    <row r="18" spans="1:40" s="18" customFormat="1" ht="18.75" customHeight="1" x14ac:dyDescent="0.25">
      <c r="B18" s="19" t="s">
        <v>149</v>
      </c>
      <c r="C18" s="20"/>
      <c r="D18" s="20"/>
      <c r="E18" s="20"/>
      <c r="F18" s="20"/>
      <c r="G18" s="20"/>
      <c r="H18" s="20"/>
      <c r="I18" s="20"/>
      <c r="J18" s="176"/>
      <c r="K18" s="176"/>
      <c r="L18" s="20"/>
      <c r="M18" s="176"/>
      <c r="N18" s="20"/>
      <c r="O18" s="20"/>
      <c r="P18" s="20"/>
      <c r="Q18" s="240"/>
      <c r="R18" s="240"/>
      <c r="S18" s="240"/>
      <c r="T18" s="240"/>
      <c r="U18" s="241"/>
      <c r="V18" s="241"/>
      <c r="W18" s="240"/>
      <c r="X18" s="241"/>
      <c r="Y18" s="20"/>
      <c r="Z18" s="20"/>
      <c r="AA18" s="20"/>
      <c r="AB18" s="20"/>
    </row>
    <row r="19" spans="1:40" x14ac:dyDescent="0.25">
      <c r="M19" s="155"/>
      <c r="O19" s="155"/>
      <c r="R19" s="21"/>
      <c r="U19" s="17"/>
    </row>
    <row r="20" spans="1:40" ht="33.75" customHeight="1" x14ac:dyDescent="0.25">
      <c r="A20" s="23" t="s">
        <v>11</v>
      </c>
      <c r="B20" s="23" t="s">
        <v>12</v>
      </c>
      <c r="F20" s="24" t="s">
        <v>13</v>
      </c>
      <c r="G20" s="25"/>
      <c r="H20" s="26" t="s">
        <v>14</v>
      </c>
      <c r="I20" s="542" t="s">
        <v>15</v>
      </c>
      <c r="J20" s="543"/>
      <c r="K20" s="543"/>
      <c r="L20" s="543"/>
      <c r="M20" s="543"/>
      <c r="N20" s="543"/>
      <c r="O20" s="543"/>
      <c r="P20" s="543"/>
      <c r="Q20" s="543"/>
      <c r="R20" s="543"/>
      <c r="S20" s="543"/>
      <c r="T20" s="543"/>
      <c r="U20" s="543"/>
      <c r="V20" s="543"/>
      <c r="W20" s="221"/>
      <c r="X20" s="221"/>
      <c r="Y20" s="221">
        <v>2021</v>
      </c>
      <c r="Z20" s="221"/>
      <c r="AA20" s="221"/>
      <c r="AB20" s="221"/>
      <c r="AC20" s="27" t="s">
        <v>16</v>
      </c>
      <c r="AD20" s="548"/>
      <c r="AE20" s="548" t="s">
        <v>17</v>
      </c>
      <c r="AH20" s="21"/>
    </row>
    <row r="21" spans="1:40" x14ac:dyDescent="0.25">
      <c r="A21" s="28"/>
      <c r="B21" s="28"/>
      <c r="F21" s="29"/>
      <c r="G21" s="30"/>
      <c r="H21" s="31"/>
      <c r="I21" s="545"/>
      <c r="J21" s="546"/>
      <c r="K21" s="546"/>
      <c r="L21" s="546"/>
      <c r="M21" s="546"/>
      <c r="N21" s="546"/>
      <c r="O21" s="546"/>
      <c r="P21" s="546"/>
      <c r="Q21" s="546"/>
      <c r="R21" s="546"/>
      <c r="S21" s="546"/>
      <c r="T21" s="546"/>
      <c r="U21" s="546"/>
      <c r="V21" s="546"/>
      <c r="W21" s="222"/>
      <c r="X21" s="222"/>
      <c r="Y21" s="222"/>
      <c r="Z21" s="222"/>
      <c r="AA21" s="222"/>
      <c r="AB21" s="222"/>
      <c r="AC21" s="32"/>
      <c r="AD21" s="549"/>
      <c r="AE21" s="549"/>
      <c r="AH21" s="21"/>
    </row>
    <row r="22" spans="1:40" ht="15.75" customHeight="1" x14ac:dyDescent="0.25">
      <c r="A22" s="28"/>
      <c r="B22" s="28"/>
      <c r="C22" s="33" t="s">
        <v>18</v>
      </c>
      <c r="D22" s="25" t="s">
        <v>19</v>
      </c>
      <c r="E22" s="34" t="s">
        <v>20</v>
      </c>
      <c r="F22" s="35" t="s">
        <v>21</v>
      </c>
      <c r="G22" s="36" t="s">
        <v>22</v>
      </c>
      <c r="H22" s="31"/>
      <c r="I22" s="37" t="s">
        <v>23</v>
      </c>
      <c r="J22" s="37"/>
      <c r="K22" s="38">
        <v>2020</v>
      </c>
      <c r="L22" s="38"/>
      <c r="M22" s="38"/>
      <c r="N22" s="38"/>
      <c r="O22" s="38"/>
      <c r="P22" s="38"/>
      <c r="Q22" s="38"/>
      <c r="R22" s="38"/>
      <c r="S22" s="38"/>
      <c r="T22" s="243"/>
      <c r="U22" s="38"/>
      <c r="V22" s="38"/>
      <c r="W22" s="218"/>
      <c r="X22" s="218"/>
      <c r="Y22" s="218"/>
      <c r="Z22" s="218"/>
      <c r="AA22" s="218"/>
      <c r="AB22" s="218"/>
      <c r="AC22" s="39"/>
      <c r="AE22" s="40"/>
      <c r="AH22" s="21"/>
    </row>
    <row r="23" spans="1:40" x14ac:dyDescent="0.25">
      <c r="A23" s="41"/>
      <c r="B23" s="41"/>
      <c r="C23" s="33"/>
      <c r="D23" s="30"/>
      <c r="E23" s="42"/>
      <c r="F23" s="35"/>
      <c r="G23" s="36"/>
      <c r="H23" s="43"/>
      <c r="I23" s="44"/>
      <c r="J23" s="156"/>
      <c r="K23" s="45" t="s">
        <v>24</v>
      </c>
      <c r="L23" s="46" t="s">
        <v>25</v>
      </c>
      <c r="M23" s="45" t="s">
        <v>26</v>
      </c>
      <c r="N23" s="47" t="s">
        <v>27</v>
      </c>
      <c r="O23" s="45" t="s">
        <v>28</v>
      </c>
      <c r="P23" s="47" t="s">
        <v>29</v>
      </c>
      <c r="Q23" s="45" t="s">
        <v>30</v>
      </c>
      <c r="R23" s="47" t="s">
        <v>31</v>
      </c>
      <c r="S23" s="45" t="s">
        <v>32</v>
      </c>
      <c r="T23" s="244" t="s">
        <v>33</v>
      </c>
      <c r="U23" s="45" t="s">
        <v>34</v>
      </c>
      <c r="V23" s="47" t="s">
        <v>35</v>
      </c>
      <c r="W23" s="47" t="s">
        <v>24</v>
      </c>
      <c r="X23" s="47" t="s">
        <v>25</v>
      </c>
      <c r="Y23" s="47" t="s">
        <v>26</v>
      </c>
      <c r="Z23" s="47" t="s">
        <v>27</v>
      </c>
      <c r="AA23" s="47" t="s">
        <v>28</v>
      </c>
      <c r="AB23" s="47" t="s">
        <v>29</v>
      </c>
      <c r="AC23" s="48"/>
      <c r="AE23" s="40"/>
      <c r="AH23" s="21"/>
    </row>
    <row r="24" spans="1:40" x14ac:dyDescent="0.25">
      <c r="A24" s="28"/>
      <c r="B24" s="28"/>
      <c r="C24" s="33"/>
      <c r="D24" s="30"/>
      <c r="E24" s="42"/>
      <c r="F24" s="228"/>
      <c r="G24" s="229"/>
      <c r="H24" s="43"/>
      <c r="I24" s="156"/>
      <c r="J24" s="156"/>
      <c r="K24" s="45"/>
      <c r="L24" s="46"/>
      <c r="M24" s="45"/>
      <c r="N24" s="47"/>
      <c r="O24" s="45"/>
      <c r="P24" s="47"/>
      <c r="Q24" s="45"/>
      <c r="R24" s="47"/>
      <c r="S24" s="45"/>
      <c r="T24" s="47"/>
      <c r="U24" s="45"/>
      <c r="V24" s="47"/>
      <c r="W24" s="47"/>
      <c r="X24" s="47"/>
      <c r="Y24" s="47"/>
      <c r="Z24" s="47"/>
      <c r="AA24" s="47"/>
      <c r="AB24" s="47"/>
      <c r="AC24" s="48"/>
      <c r="AE24" s="40"/>
      <c r="AH24" s="21"/>
    </row>
    <row r="25" spans="1:40" ht="15.75" customHeight="1" x14ac:dyDescent="0.25">
      <c r="A25" s="54">
        <v>1</v>
      </c>
      <c r="B25" s="416" t="s">
        <v>66</v>
      </c>
      <c r="C25" s="49"/>
      <c r="D25" s="30"/>
      <c r="E25" s="42" t="e">
        <f t="shared" ref="E25" si="0">DATEDIF(F25,G25,"d")</f>
        <v>#NUM!</v>
      </c>
      <c r="F25" s="55">
        <v>44058</v>
      </c>
      <c r="G25" s="55"/>
      <c r="H25" s="56" t="s">
        <v>37</v>
      </c>
      <c r="I25" s="57">
        <f>SUM(K25:AC25)</f>
        <v>1</v>
      </c>
      <c r="J25" s="57">
        <f t="shared" ref="J25:J68" si="1">SUM(K25:AB25)</f>
        <v>1</v>
      </c>
      <c r="K25" s="50"/>
      <c r="L25" s="50"/>
      <c r="M25" s="50"/>
      <c r="N25" s="137">
        <v>0</v>
      </c>
      <c r="O25" s="137">
        <v>0</v>
      </c>
      <c r="P25" s="137">
        <f>60%*0</f>
        <v>0</v>
      </c>
      <c r="Q25" s="137">
        <v>0</v>
      </c>
      <c r="R25" s="256">
        <v>0</v>
      </c>
      <c r="S25" s="256">
        <v>0</v>
      </c>
      <c r="T25" s="256">
        <v>1</v>
      </c>
      <c r="U25" s="259"/>
      <c r="V25" s="59"/>
      <c r="W25" s="59"/>
      <c r="X25" s="59"/>
      <c r="Y25" s="59"/>
      <c r="Z25" s="59"/>
      <c r="AA25" s="59"/>
      <c r="AB25" s="59"/>
      <c r="AC25" s="53"/>
      <c r="AE25" s="40"/>
      <c r="AH25" s="21"/>
      <c r="AK25" s="200">
        <f>Q26+R26+S26+T26+U26+V26</f>
        <v>937.35536999999999</v>
      </c>
      <c r="AM25" s="200">
        <v>937.35536999999999</v>
      </c>
      <c r="AN25" s="200">
        <f>AM25-AK25</f>
        <v>0</v>
      </c>
    </row>
    <row r="26" spans="1:40" ht="15.75" customHeight="1" x14ac:dyDescent="0.25">
      <c r="A26" s="60"/>
      <c r="B26" s="61"/>
      <c r="C26" s="49"/>
      <c r="D26" s="30"/>
      <c r="E26" s="42"/>
      <c r="F26" s="62"/>
      <c r="G26" s="62"/>
      <c r="H26" s="56" t="s">
        <v>36</v>
      </c>
      <c r="I26" s="191">
        <f>849.4*1.051*1.05</f>
        <v>937.35536999999999</v>
      </c>
      <c r="J26" s="153">
        <f t="shared" si="1"/>
        <v>937.35536999999999</v>
      </c>
      <c r="K26" s="147"/>
      <c r="L26" s="147"/>
      <c r="M26" s="147"/>
      <c r="N26" s="147">
        <f>I26*N25</f>
        <v>0</v>
      </c>
      <c r="O26" s="147">
        <f>I26*O25</f>
        <v>0</v>
      </c>
      <c r="P26" s="147">
        <f>I26*P25</f>
        <v>0</v>
      </c>
      <c r="Q26" s="147">
        <f>I26*Q25</f>
        <v>0</v>
      </c>
      <c r="R26" s="150">
        <f>$I26*R25</f>
        <v>0</v>
      </c>
      <c r="S26" s="239">
        <f t="shared" ref="S26:T26" si="2">$I26*S25</f>
        <v>0</v>
      </c>
      <c r="T26" s="239">
        <f t="shared" si="2"/>
        <v>937.35536999999999</v>
      </c>
      <c r="U26" s="150"/>
      <c r="V26" s="148"/>
      <c r="W26" s="148"/>
      <c r="X26" s="148"/>
      <c r="Y26" s="148"/>
      <c r="Z26" s="148"/>
      <c r="AA26" s="148"/>
      <c r="AB26" s="148"/>
      <c r="AC26" s="53"/>
      <c r="AE26" s="64">
        <v>109.95413999999982</v>
      </c>
      <c r="AF26" s="21" t="e">
        <f>#REF!+#REF!+#REF!</f>
        <v>#REF!</v>
      </c>
      <c r="AH26" s="21">
        <v>6899.9044400000002</v>
      </c>
      <c r="AI26" s="21">
        <f>I26</f>
        <v>937.35536999999999</v>
      </c>
      <c r="AK26" s="200">
        <f t="shared" ref="AK26:AK89" si="3">Q27+R27+S27+T27+U27+V27</f>
        <v>1</v>
      </c>
      <c r="AM26" s="200">
        <v>1</v>
      </c>
      <c r="AN26" s="200">
        <f t="shared" ref="AN26:AN89" si="4">AM26-AK26</f>
        <v>0</v>
      </c>
    </row>
    <row r="27" spans="1:40" ht="15.75" customHeight="1" x14ac:dyDescent="0.25">
      <c r="A27" s="54">
        <v>2</v>
      </c>
      <c r="B27" s="416" t="s">
        <v>67</v>
      </c>
      <c r="C27" s="49"/>
      <c r="D27" s="30"/>
      <c r="E27" s="56">
        <f t="shared" ref="E27:E63" si="5">DATEDIF(F27,G27,"d")</f>
        <v>964</v>
      </c>
      <c r="F27" s="55">
        <v>43160</v>
      </c>
      <c r="G27" s="55">
        <v>44124</v>
      </c>
      <c r="H27" s="56" t="s">
        <v>37</v>
      </c>
      <c r="I27" s="57">
        <f>SUM(K27:AC27)</f>
        <v>1</v>
      </c>
      <c r="J27" s="57">
        <f t="shared" si="1"/>
        <v>1</v>
      </c>
      <c r="K27" s="50"/>
      <c r="L27" s="50"/>
      <c r="M27" s="50"/>
      <c r="N27" s="58"/>
      <c r="O27" s="58"/>
      <c r="P27" s="58"/>
      <c r="Q27" s="58"/>
      <c r="R27" s="260">
        <v>0</v>
      </c>
      <c r="S27" s="256">
        <v>0</v>
      </c>
      <c r="T27" s="256">
        <v>0.5</v>
      </c>
      <c r="U27" s="256">
        <v>0.5</v>
      </c>
      <c r="V27" s="51"/>
      <c r="W27" s="51"/>
      <c r="X27" s="51"/>
      <c r="Y27" s="51"/>
      <c r="Z27" s="51"/>
      <c r="AA27" s="51"/>
      <c r="AB27" s="51"/>
      <c r="AC27" s="53"/>
      <c r="AE27" s="64"/>
      <c r="AH27" s="21"/>
      <c r="AI27" s="21"/>
      <c r="AK27" s="200">
        <f t="shared" si="3"/>
        <v>4740.5859479999999</v>
      </c>
      <c r="AM27" s="200">
        <v>4740.5859479999999</v>
      </c>
      <c r="AN27" s="200">
        <f t="shared" si="4"/>
        <v>0</v>
      </c>
    </row>
    <row r="28" spans="1:40" ht="15.75" customHeight="1" x14ac:dyDescent="0.25">
      <c r="A28" s="60"/>
      <c r="B28" s="61"/>
      <c r="C28" s="49"/>
      <c r="D28" s="30"/>
      <c r="E28" s="42"/>
      <c r="F28" s="62"/>
      <c r="G28" s="62"/>
      <c r="H28" s="56" t="s">
        <v>36</v>
      </c>
      <c r="I28" s="164">
        <f>4295.76*1.051*1.05</f>
        <v>4740.5859479999999</v>
      </c>
      <c r="J28" s="153">
        <f t="shared" si="1"/>
        <v>4740.5859479999999</v>
      </c>
      <c r="K28" s="147"/>
      <c r="L28" s="147"/>
      <c r="M28" s="147"/>
      <c r="N28" s="147"/>
      <c r="O28" s="147"/>
      <c r="P28" s="147"/>
      <c r="Q28" s="147"/>
      <c r="R28" s="150">
        <f>I28*R27</f>
        <v>0</v>
      </c>
      <c r="S28" s="150">
        <f>I28*S27</f>
        <v>0</v>
      </c>
      <c r="T28" s="150">
        <f>I28*T27</f>
        <v>2370.292974</v>
      </c>
      <c r="U28" s="150">
        <f>I28*U27</f>
        <v>2370.292974</v>
      </c>
      <c r="V28" s="148"/>
      <c r="W28" s="148"/>
      <c r="X28" s="148"/>
      <c r="Y28" s="148"/>
      <c r="Z28" s="148"/>
      <c r="AA28" s="148"/>
      <c r="AB28" s="148"/>
      <c r="AC28" s="53"/>
      <c r="AE28" s="64">
        <v>0.23423000000002503</v>
      </c>
      <c r="AH28" s="21">
        <v>7126.4367700000003</v>
      </c>
      <c r="AI28" s="21">
        <f>I28</f>
        <v>4740.5859479999999</v>
      </c>
      <c r="AK28" s="200">
        <f t="shared" si="3"/>
        <v>1</v>
      </c>
      <c r="AM28" s="200">
        <v>1</v>
      </c>
      <c r="AN28" s="200">
        <f t="shared" si="4"/>
        <v>0</v>
      </c>
    </row>
    <row r="29" spans="1:40" s="18" customFormat="1" ht="15.75" customHeight="1" x14ac:dyDescent="0.25">
      <c r="A29" s="65">
        <v>3</v>
      </c>
      <c r="B29" s="66" t="s">
        <v>84</v>
      </c>
      <c r="C29" s="42"/>
      <c r="D29" s="67"/>
      <c r="E29" s="42">
        <f t="shared" si="5"/>
        <v>76</v>
      </c>
      <c r="F29" s="55">
        <v>43905</v>
      </c>
      <c r="G29" s="68">
        <v>43981</v>
      </c>
      <c r="H29" s="56" t="s">
        <v>37</v>
      </c>
      <c r="I29" s="57">
        <f>SUM(K29:AC29)</f>
        <v>1</v>
      </c>
      <c r="J29" s="57">
        <f t="shared" si="1"/>
        <v>1</v>
      </c>
      <c r="K29" s="50"/>
      <c r="L29" s="50"/>
      <c r="M29" s="58"/>
      <c r="N29" s="144">
        <v>0</v>
      </c>
      <c r="O29" s="144">
        <v>0</v>
      </c>
      <c r="P29" s="144">
        <f>35%*0</f>
        <v>0</v>
      </c>
      <c r="Q29" s="144">
        <v>0</v>
      </c>
      <c r="R29" s="216">
        <f>R30/I30</f>
        <v>0.34074796658942003</v>
      </c>
      <c r="S29" s="216">
        <f>100%-T29-R29</f>
        <v>0</v>
      </c>
      <c r="T29" s="216">
        <v>0.65925203341057992</v>
      </c>
      <c r="U29" s="216">
        <v>0</v>
      </c>
      <c r="V29" s="51"/>
      <c r="W29" s="51"/>
      <c r="X29" s="51"/>
      <c r="Y29" s="51"/>
      <c r="Z29" s="51"/>
      <c r="AA29" s="51"/>
      <c r="AB29" s="51"/>
      <c r="AC29" s="69"/>
      <c r="AE29" s="64"/>
      <c r="AH29" s="21"/>
      <c r="AI29" s="21"/>
      <c r="AK29" s="200">
        <f t="shared" si="3"/>
        <v>8915.9446214999989</v>
      </c>
      <c r="AM29" s="200">
        <v>8915.9446214999989</v>
      </c>
      <c r="AN29" s="200">
        <f t="shared" si="4"/>
        <v>0</v>
      </c>
    </row>
    <row r="30" spans="1:40" ht="15.75" customHeight="1" x14ac:dyDescent="0.25">
      <c r="A30" s="70"/>
      <c r="B30" s="71"/>
      <c r="C30" s="42"/>
      <c r="D30" s="67"/>
      <c r="E30" s="42"/>
      <c r="F30" s="72"/>
      <c r="G30" s="73"/>
      <c r="H30" s="56" t="s">
        <v>36</v>
      </c>
      <c r="I30" s="164">
        <f>8079.33*1.051*1.05</f>
        <v>8915.9446214999989</v>
      </c>
      <c r="J30" s="153">
        <f t="shared" si="1"/>
        <v>8915.9446214999989</v>
      </c>
      <c r="K30" s="149"/>
      <c r="L30" s="149"/>
      <c r="M30" s="147"/>
      <c r="N30" s="147">
        <f>I30*N29</f>
        <v>0</v>
      </c>
      <c r="O30" s="147">
        <f>I30*O29</f>
        <v>0</v>
      </c>
      <c r="P30" s="147">
        <f>I30*P29</f>
        <v>0</v>
      </c>
      <c r="Q30" s="147">
        <f>I30*Q29</f>
        <v>0</v>
      </c>
      <c r="R30" s="239">
        <v>3038.0900000000006</v>
      </c>
      <c r="S30" s="150">
        <f>I30*S29</f>
        <v>0</v>
      </c>
      <c r="T30" s="148">
        <f>I30*T29</f>
        <v>5877.8546214999978</v>
      </c>
      <c r="U30" s="148"/>
      <c r="V30" s="148"/>
      <c r="W30" s="148"/>
      <c r="X30" s="148"/>
      <c r="Y30" s="148"/>
      <c r="Z30" s="148"/>
      <c r="AA30" s="148"/>
      <c r="AB30" s="148"/>
      <c r="AC30" s="53"/>
      <c r="AE30" s="75">
        <v>-8297.56675</v>
      </c>
      <c r="AF30" s="76" t="s">
        <v>38</v>
      </c>
      <c r="AH30" s="21">
        <v>13473.14</v>
      </c>
      <c r="AI30" s="21">
        <f>I30</f>
        <v>8915.9446214999989</v>
      </c>
      <c r="AJ30" s="21"/>
      <c r="AK30" s="200">
        <f t="shared" si="3"/>
        <v>0</v>
      </c>
      <c r="AM30" s="200">
        <v>0</v>
      </c>
      <c r="AN30" s="200">
        <f t="shared" si="4"/>
        <v>0</v>
      </c>
    </row>
    <row r="31" spans="1:40" ht="15.75" customHeight="1" x14ac:dyDescent="0.25">
      <c r="A31" s="138"/>
      <c r="B31" s="142" t="s">
        <v>68</v>
      </c>
      <c r="C31" s="42"/>
      <c r="D31" s="139"/>
      <c r="E31" s="42"/>
      <c r="F31" s="140"/>
      <c r="G31" s="141"/>
      <c r="H31" s="56"/>
      <c r="I31" s="63"/>
      <c r="J31" s="63">
        <f t="shared" si="1"/>
        <v>0</v>
      </c>
      <c r="K31" s="74"/>
      <c r="L31" s="74"/>
      <c r="M31" s="50"/>
      <c r="N31" s="50"/>
      <c r="O31" s="50"/>
      <c r="P31" s="50"/>
      <c r="Q31" s="50"/>
      <c r="R31" s="136"/>
      <c r="S31" s="136"/>
      <c r="T31" s="51"/>
      <c r="U31" s="51"/>
      <c r="V31" s="51"/>
      <c r="W31" s="51"/>
      <c r="X31" s="51"/>
      <c r="Y31" s="51"/>
      <c r="Z31" s="51"/>
      <c r="AA31" s="51"/>
      <c r="AB31" s="51"/>
      <c r="AC31" s="53"/>
      <c r="AE31" s="75"/>
      <c r="AF31" s="76"/>
      <c r="AH31" s="21"/>
      <c r="AI31" s="21"/>
      <c r="AJ31" s="21"/>
      <c r="AK31" s="200">
        <f t="shared" si="3"/>
        <v>0.53999999999999992</v>
      </c>
      <c r="AM31" s="200">
        <v>0.54</v>
      </c>
      <c r="AN31" s="200">
        <f t="shared" si="4"/>
        <v>0</v>
      </c>
    </row>
    <row r="32" spans="1:40" ht="15.75" customHeight="1" outlineLevel="1" x14ac:dyDescent="0.25">
      <c r="A32" s="79" t="s">
        <v>89</v>
      </c>
      <c r="B32" s="554" t="s">
        <v>86</v>
      </c>
      <c r="C32" s="49"/>
      <c r="D32" s="30"/>
      <c r="E32" s="42">
        <f t="shared" si="5"/>
        <v>178</v>
      </c>
      <c r="F32" s="55">
        <v>43936</v>
      </c>
      <c r="G32" s="55">
        <v>44114</v>
      </c>
      <c r="H32" s="56" t="s">
        <v>37</v>
      </c>
      <c r="I32" s="57">
        <f>SUM(K32:AC32)</f>
        <v>0.99999999999999989</v>
      </c>
      <c r="J32" s="57">
        <f t="shared" si="1"/>
        <v>0.99999999999999989</v>
      </c>
      <c r="K32" s="50"/>
      <c r="L32" s="50"/>
      <c r="M32" s="50"/>
      <c r="N32" s="144">
        <v>0</v>
      </c>
      <c r="O32" s="144">
        <v>0</v>
      </c>
      <c r="P32" s="144">
        <f>14%*0</f>
        <v>0</v>
      </c>
      <c r="Q32" s="144">
        <v>0</v>
      </c>
      <c r="R32" s="216">
        <f>R33/I33</f>
        <v>3.0289612541483497E-2</v>
      </c>
      <c r="S32" s="216">
        <v>0</v>
      </c>
      <c r="T32" s="216">
        <v>0.26470323024478865</v>
      </c>
      <c r="U32" s="216">
        <v>0.12250357860686391</v>
      </c>
      <c r="V32" s="216">
        <v>0.12250357860686391</v>
      </c>
      <c r="W32" s="216">
        <v>0.12</v>
      </c>
      <c r="X32" s="216">
        <v>0.15</v>
      </c>
      <c r="Y32" s="216">
        <v>0.1</v>
      </c>
      <c r="Z32" s="216">
        <f>46%-Y32-X32-W32</f>
        <v>0.09</v>
      </c>
      <c r="AA32" s="216">
        <v>0</v>
      </c>
      <c r="AB32" s="51"/>
      <c r="AC32" s="53"/>
      <c r="AE32" s="40"/>
      <c r="AH32" s="21"/>
      <c r="AK32" s="200">
        <f t="shared" si="3"/>
        <v>40397.437184915165</v>
      </c>
      <c r="AM32" s="200">
        <v>40397.437184915165</v>
      </c>
      <c r="AN32" s="200">
        <f t="shared" si="4"/>
        <v>0</v>
      </c>
    </row>
    <row r="33" spans="1:40" ht="15.75" customHeight="1" outlineLevel="1" x14ac:dyDescent="0.25">
      <c r="A33" s="60"/>
      <c r="B33" s="555"/>
      <c r="C33" s="49"/>
      <c r="D33" s="30"/>
      <c r="E33" s="42"/>
      <c r="F33" s="62"/>
      <c r="G33" s="62"/>
      <c r="H33" s="56" t="s">
        <v>36</v>
      </c>
      <c r="I33" s="164">
        <f>67790.37548*1.051*1.05</f>
        <v>74810.068860954008</v>
      </c>
      <c r="J33" s="153">
        <f t="shared" si="1"/>
        <v>74810.068860954008</v>
      </c>
      <c r="K33" s="147"/>
      <c r="L33" s="147"/>
      <c r="M33" s="147"/>
      <c r="N33" s="147">
        <f>I33*N32</f>
        <v>0</v>
      </c>
      <c r="O33" s="147">
        <f>I33*O32</f>
        <v>0</v>
      </c>
      <c r="P33" s="147">
        <f>I33*P32</f>
        <v>0</v>
      </c>
      <c r="Q33" s="147">
        <f>I33*Q32</f>
        <v>0</v>
      </c>
      <c r="R33" s="237">
        <v>2265.9679999999967</v>
      </c>
      <c r="S33" s="237">
        <f t="shared" ref="S33:AA33" si="6">$I33*S32</f>
        <v>0</v>
      </c>
      <c r="T33" s="148">
        <f t="shared" si="6"/>
        <v>19802.466882329602</v>
      </c>
      <c r="U33" s="148">
        <f t="shared" si="6"/>
        <v>9164.5011512927813</v>
      </c>
      <c r="V33" s="148">
        <f t="shared" si="6"/>
        <v>9164.5011512927813</v>
      </c>
      <c r="W33" s="148">
        <f t="shared" si="6"/>
        <v>8977.2082633144801</v>
      </c>
      <c r="X33" s="148">
        <f t="shared" si="6"/>
        <v>11221.510329143101</v>
      </c>
      <c r="Y33" s="148">
        <f t="shared" si="6"/>
        <v>7481.0068860954016</v>
      </c>
      <c r="Z33" s="148">
        <f t="shared" si="6"/>
        <v>6732.9061974858605</v>
      </c>
      <c r="AA33" s="148">
        <f t="shared" si="6"/>
        <v>0</v>
      </c>
      <c r="AB33" s="51"/>
      <c r="AC33" s="53"/>
      <c r="AE33" s="64">
        <v>109.95413999999982</v>
      </c>
      <c r="AF33" s="21" t="e">
        <f>#REF!+#REF!+#REF!</f>
        <v>#REF!</v>
      </c>
      <c r="AH33" s="21">
        <v>6899.9044400000002</v>
      </c>
      <c r="AI33" s="21">
        <f>I33</f>
        <v>74810.068860954008</v>
      </c>
      <c r="AK33" s="200">
        <f t="shared" si="3"/>
        <v>0.54</v>
      </c>
      <c r="AM33" s="200">
        <v>0.54</v>
      </c>
      <c r="AN33" s="200">
        <f t="shared" si="4"/>
        <v>0</v>
      </c>
    </row>
    <row r="34" spans="1:40" ht="20.25" customHeight="1" outlineLevel="1" x14ac:dyDescent="0.25">
      <c r="A34" s="79" t="s">
        <v>90</v>
      </c>
      <c r="B34" s="554" t="s">
        <v>87</v>
      </c>
      <c r="C34" s="49"/>
      <c r="D34" s="30"/>
      <c r="E34" s="42">
        <f t="shared" ref="E34" si="7">DATEDIF(F34,G34,"d")</f>
        <v>178</v>
      </c>
      <c r="F34" s="55">
        <v>43936</v>
      </c>
      <c r="G34" s="55">
        <v>44114</v>
      </c>
      <c r="H34" s="56" t="s">
        <v>37</v>
      </c>
      <c r="I34" s="57">
        <f>SUM(K34:AC34)</f>
        <v>1</v>
      </c>
      <c r="J34" s="57">
        <f t="shared" si="1"/>
        <v>1</v>
      </c>
      <c r="K34" s="50"/>
      <c r="L34" s="50"/>
      <c r="M34" s="50"/>
      <c r="N34" s="152">
        <v>0</v>
      </c>
      <c r="O34" s="152">
        <v>0</v>
      </c>
      <c r="P34" s="152">
        <f>6.4%*0</f>
        <v>0</v>
      </c>
      <c r="Q34" s="152">
        <v>0</v>
      </c>
      <c r="R34" s="216">
        <v>0</v>
      </c>
      <c r="S34" s="216">
        <v>0</v>
      </c>
      <c r="T34" s="216">
        <v>0.3</v>
      </c>
      <c r="U34" s="216">
        <v>0.12</v>
      </c>
      <c r="V34" s="216">
        <f>54%-U34-T34-S34-R34</f>
        <v>0.12000000000000005</v>
      </c>
      <c r="W34" s="216">
        <v>0.12</v>
      </c>
      <c r="X34" s="216">
        <v>0.15</v>
      </c>
      <c r="Y34" s="216">
        <v>0.1</v>
      </c>
      <c r="Z34" s="216">
        <f>46%-Y34-X34-W34</f>
        <v>0.09</v>
      </c>
      <c r="AA34" s="59"/>
      <c r="AB34" s="59"/>
      <c r="AC34" s="53"/>
      <c r="AE34" s="40"/>
      <c r="AH34" s="21"/>
      <c r="AK34" s="200">
        <f t="shared" si="3"/>
        <v>25406.042860014844</v>
      </c>
      <c r="AM34" s="200">
        <v>26444.620898134737</v>
      </c>
      <c r="AN34" s="200">
        <f t="shared" si="4"/>
        <v>1038.5780381198929</v>
      </c>
    </row>
    <row r="35" spans="1:40" ht="20.25" customHeight="1" outlineLevel="1" x14ac:dyDescent="0.25">
      <c r="A35" s="60"/>
      <c r="B35" s="555"/>
      <c r="C35" s="49"/>
      <c r="D35" s="30"/>
      <c r="E35" s="42"/>
      <c r="F35" s="62"/>
      <c r="G35" s="62"/>
      <c r="H35" s="56" t="s">
        <v>36</v>
      </c>
      <c r="I35" s="167">
        <v>47048.227518546002</v>
      </c>
      <c r="J35" s="153">
        <f t="shared" si="1"/>
        <v>47048.227518546002</v>
      </c>
      <c r="K35" s="147"/>
      <c r="L35" s="147"/>
      <c r="M35" s="147"/>
      <c r="N35" s="147">
        <f>$I$35*N34</f>
        <v>0</v>
      </c>
      <c r="O35" s="147">
        <f t="shared" ref="O35:Z35" si="8">$I$35*O34</f>
        <v>0</v>
      </c>
      <c r="P35" s="147">
        <f t="shared" si="8"/>
        <v>0</v>
      </c>
      <c r="Q35" s="147">
        <f t="shared" si="8"/>
        <v>0</v>
      </c>
      <c r="R35" s="219">
        <f t="shared" si="8"/>
        <v>0</v>
      </c>
      <c r="S35" s="219">
        <f t="shared" si="8"/>
        <v>0</v>
      </c>
      <c r="T35" s="147">
        <f t="shared" si="8"/>
        <v>14114.468255563801</v>
      </c>
      <c r="U35" s="147">
        <f t="shared" si="8"/>
        <v>5645.7873022255199</v>
      </c>
      <c r="V35" s="147">
        <f t="shared" si="8"/>
        <v>5645.7873022255226</v>
      </c>
      <c r="W35" s="147">
        <f t="shared" si="8"/>
        <v>5645.7873022255199</v>
      </c>
      <c r="X35" s="147">
        <f t="shared" si="8"/>
        <v>7057.2341277819005</v>
      </c>
      <c r="Y35" s="147">
        <f t="shared" si="8"/>
        <v>4704.8227518546</v>
      </c>
      <c r="Z35" s="147">
        <f t="shared" si="8"/>
        <v>4234.3404766691401</v>
      </c>
      <c r="AA35" s="148"/>
      <c r="AB35" s="148"/>
      <c r="AC35" s="53"/>
      <c r="AE35" s="64">
        <v>109.95413999999982</v>
      </c>
      <c r="AF35" s="21" t="e">
        <f>#REF!+#REF!+#REF!</f>
        <v>#REF!</v>
      </c>
      <c r="AH35" s="21">
        <v>6899.9044400000002</v>
      </c>
      <c r="AI35" s="21">
        <f>I35</f>
        <v>47048.227518546002</v>
      </c>
      <c r="AK35" s="200">
        <f t="shared" si="3"/>
        <v>0.54</v>
      </c>
      <c r="AM35" s="200">
        <v>0.54</v>
      </c>
      <c r="AN35" s="200">
        <f t="shared" si="4"/>
        <v>0</v>
      </c>
    </row>
    <row r="36" spans="1:40" ht="15.75" customHeight="1" outlineLevel="1" x14ac:dyDescent="0.25">
      <c r="A36" s="79" t="s">
        <v>91</v>
      </c>
      <c r="B36" s="554" t="s">
        <v>88</v>
      </c>
      <c r="C36" s="49"/>
      <c r="D36" s="30"/>
      <c r="E36" s="42">
        <f t="shared" ref="E36" si="9">DATEDIF(F36,G36,"d")</f>
        <v>178</v>
      </c>
      <c r="F36" s="55">
        <v>43936</v>
      </c>
      <c r="G36" s="55">
        <v>44114</v>
      </c>
      <c r="H36" s="56" t="s">
        <v>37</v>
      </c>
      <c r="I36" s="57">
        <f>SUM(K36:AC36)</f>
        <v>1</v>
      </c>
      <c r="J36" s="57">
        <f t="shared" si="1"/>
        <v>1</v>
      </c>
      <c r="K36" s="50"/>
      <c r="L36" s="50"/>
      <c r="M36" s="50"/>
      <c r="N36" s="152">
        <v>0</v>
      </c>
      <c r="O36" s="152">
        <v>0</v>
      </c>
      <c r="P36" s="152">
        <f>6.4%*0</f>
        <v>0</v>
      </c>
      <c r="Q36" s="152">
        <v>0</v>
      </c>
      <c r="R36" s="216">
        <f>R37/I37</f>
        <v>0.12801809648438947</v>
      </c>
      <c r="S36" s="216">
        <v>0</v>
      </c>
      <c r="T36" s="216">
        <v>0.17198190351561055</v>
      </c>
      <c r="U36" s="216">
        <v>0.12</v>
      </c>
      <c r="V36" s="216">
        <v>0.12</v>
      </c>
      <c r="W36" s="216">
        <v>0.12</v>
      </c>
      <c r="X36" s="216">
        <v>0.15</v>
      </c>
      <c r="Y36" s="216">
        <v>0.1</v>
      </c>
      <c r="Z36" s="216">
        <f>46%-Y36-X36-W36</f>
        <v>0.09</v>
      </c>
      <c r="AA36" s="59"/>
      <c r="AB36" s="59"/>
      <c r="AC36" s="53"/>
      <c r="AE36" s="40"/>
      <c r="AH36" s="21"/>
      <c r="AK36" s="200">
        <f t="shared" si="3"/>
        <v>7368.9836507999999</v>
      </c>
      <c r="AM36" s="200">
        <v>6330.4056126800988</v>
      </c>
      <c r="AN36" s="200">
        <f t="shared" si="4"/>
        <v>-1038.5780381199011</v>
      </c>
    </row>
    <row r="37" spans="1:40" ht="15.75" customHeight="1" outlineLevel="1" x14ac:dyDescent="0.25">
      <c r="A37" s="60"/>
      <c r="B37" s="555"/>
      <c r="C37" s="49"/>
      <c r="D37" s="30"/>
      <c r="E37" s="42"/>
      <c r="F37" s="62"/>
      <c r="G37" s="62"/>
      <c r="H37" s="56" t="s">
        <v>36</v>
      </c>
      <c r="I37" s="161">
        <v>13646.266019999999</v>
      </c>
      <c r="J37" s="153">
        <f t="shared" si="1"/>
        <v>13646.266019999999</v>
      </c>
      <c r="K37" s="147"/>
      <c r="L37" s="147"/>
      <c r="M37" s="147"/>
      <c r="N37" s="147">
        <f>I37*N36</f>
        <v>0</v>
      </c>
      <c r="O37" s="147">
        <f>I37*O36</f>
        <v>0</v>
      </c>
      <c r="P37" s="147">
        <f>I37*P36</f>
        <v>0</v>
      </c>
      <c r="Q37" s="147">
        <f>I37*Q36</f>
        <v>0</v>
      </c>
      <c r="R37" s="237">
        <v>1746.9690000000055</v>
      </c>
      <c r="S37" s="237">
        <f t="shared" ref="S37:Z37" si="10">$I37*S36</f>
        <v>0</v>
      </c>
      <c r="T37" s="148">
        <f t="shared" si="10"/>
        <v>2346.9108059999944</v>
      </c>
      <c r="U37" s="148">
        <f t="shared" si="10"/>
        <v>1637.5519223999997</v>
      </c>
      <c r="V37" s="148">
        <f t="shared" si="10"/>
        <v>1637.5519223999997</v>
      </c>
      <c r="W37" s="148">
        <f t="shared" si="10"/>
        <v>1637.5519223999997</v>
      </c>
      <c r="X37" s="148">
        <f t="shared" si="10"/>
        <v>2046.9399029999997</v>
      </c>
      <c r="Y37" s="148">
        <f t="shared" si="10"/>
        <v>1364.626602</v>
      </c>
      <c r="Z37" s="148">
        <f t="shared" si="10"/>
        <v>1228.1639418</v>
      </c>
      <c r="AA37" s="148"/>
      <c r="AB37" s="148"/>
      <c r="AC37" s="53"/>
      <c r="AE37" s="64">
        <v>109.95413999999982</v>
      </c>
      <c r="AF37" s="21" t="e">
        <f>#REF!+#REF!+#REF!</f>
        <v>#REF!</v>
      </c>
      <c r="AH37" s="21">
        <v>6899.9044400000002</v>
      </c>
      <c r="AI37" s="21">
        <f>I37</f>
        <v>13646.266019999999</v>
      </c>
      <c r="AK37" s="200">
        <f t="shared" si="3"/>
        <v>0.2</v>
      </c>
      <c r="AM37" s="200">
        <v>0.2</v>
      </c>
      <c r="AN37" s="200">
        <f t="shared" si="4"/>
        <v>0</v>
      </c>
    </row>
    <row r="38" spans="1:40" ht="15.75" customHeight="1" outlineLevel="1" x14ac:dyDescent="0.25">
      <c r="A38" s="54">
        <v>5</v>
      </c>
      <c r="B38" s="416" t="s">
        <v>85</v>
      </c>
      <c r="C38" s="49"/>
      <c r="D38" s="30"/>
      <c r="E38" s="42">
        <f t="shared" si="5"/>
        <v>90</v>
      </c>
      <c r="F38" s="55">
        <v>43952</v>
      </c>
      <c r="G38" s="55">
        <v>44042</v>
      </c>
      <c r="H38" s="56" t="s">
        <v>37</v>
      </c>
      <c r="I38" s="57">
        <f>SUM(K38:AC38)</f>
        <v>1</v>
      </c>
      <c r="J38" s="57">
        <f t="shared" si="1"/>
        <v>1</v>
      </c>
      <c r="K38" s="50"/>
      <c r="L38" s="50"/>
      <c r="M38" s="50"/>
      <c r="N38" s="58"/>
      <c r="O38" s="144">
        <v>0</v>
      </c>
      <c r="P38" s="144">
        <f>20%*0</f>
        <v>0</v>
      </c>
      <c r="Q38" s="144">
        <v>0</v>
      </c>
      <c r="R38" s="144">
        <v>0</v>
      </c>
      <c r="S38" s="216">
        <v>0</v>
      </c>
      <c r="T38" s="216">
        <v>0.1</v>
      </c>
      <c r="U38" s="216">
        <v>0.05</v>
      </c>
      <c r="V38" s="216">
        <v>0.05</v>
      </c>
      <c r="W38" s="216"/>
      <c r="X38" s="216"/>
      <c r="Y38" s="216">
        <v>0.4</v>
      </c>
      <c r="Z38" s="216">
        <v>0.4</v>
      </c>
      <c r="AA38" s="51"/>
      <c r="AB38" s="51"/>
      <c r="AC38" s="53"/>
      <c r="AE38" s="64"/>
      <c r="AH38" s="21"/>
      <c r="AI38" s="21"/>
      <c r="AK38" s="200">
        <f t="shared" si="3"/>
        <v>2133.4534871999999</v>
      </c>
      <c r="AM38" s="200">
        <v>2133.4534871999999</v>
      </c>
      <c r="AN38" s="200">
        <f t="shared" si="4"/>
        <v>0</v>
      </c>
    </row>
    <row r="39" spans="1:40" ht="15.75" customHeight="1" outlineLevel="1" x14ac:dyDescent="0.25">
      <c r="A39" s="60"/>
      <c r="B39" s="61"/>
      <c r="C39" s="49"/>
      <c r="D39" s="30"/>
      <c r="E39" s="42"/>
      <c r="F39" s="62"/>
      <c r="G39" s="62"/>
      <c r="H39" s="56" t="s">
        <v>36</v>
      </c>
      <c r="I39" s="164">
        <f>9666.32*1.051*1.05</f>
        <v>10667.267436</v>
      </c>
      <c r="J39" s="153">
        <f t="shared" si="1"/>
        <v>10667.267435999998</v>
      </c>
      <c r="K39" s="147"/>
      <c r="L39" s="147"/>
      <c r="M39" s="147"/>
      <c r="N39" s="147"/>
      <c r="O39" s="147">
        <f>I39*O38</f>
        <v>0</v>
      </c>
      <c r="P39" s="147">
        <f>I39*P38</f>
        <v>0</v>
      </c>
      <c r="Q39" s="147">
        <f>I39*Q38</f>
        <v>0</v>
      </c>
      <c r="R39" s="148">
        <f>$I39*R38</f>
        <v>0</v>
      </c>
      <c r="S39" s="148">
        <f t="shared" ref="S39:Z39" si="11">$I39*S38</f>
        <v>0</v>
      </c>
      <c r="T39" s="148">
        <f t="shared" si="11"/>
        <v>1066.7267436</v>
      </c>
      <c r="U39" s="148">
        <f t="shared" si="11"/>
        <v>533.36337179999998</v>
      </c>
      <c r="V39" s="148">
        <f t="shared" si="11"/>
        <v>533.36337179999998</v>
      </c>
      <c r="W39" s="148">
        <f t="shared" si="11"/>
        <v>0</v>
      </c>
      <c r="X39" s="148">
        <f t="shared" si="11"/>
        <v>0</v>
      </c>
      <c r="Y39" s="148">
        <f t="shared" si="11"/>
        <v>4266.9069743999999</v>
      </c>
      <c r="Z39" s="148">
        <f t="shared" si="11"/>
        <v>4266.9069743999999</v>
      </c>
      <c r="AA39" s="148"/>
      <c r="AB39" s="148"/>
      <c r="AC39" s="53"/>
      <c r="AE39" s="64">
        <v>0.23423000000002503</v>
      </c>
      <c r="AH39" s="21">
        <v>7126.4367700000003</v>
      </c>
      <c r="AI39" s="21">
        <f>I39</f>
        <v>10667.267436</v>
      </c>
      <c r="AK39" s="200">
        <f t="shared" si="3"/>
        <v>0</v>
      </c>
      <c r="AM39" s="200">
        <v>0</v>
      </c>
      <c r="AN39" s="200">
        <f t="shared" si="4"/>
        <v>0</v>
      </c>
    </row>
    <row r="40" spans="1:40" s="18" customFormat="1" ht="15.75" customHeight="1" outlineLevel="1" x14ac:dyDescent="0.25">
      <c r="A40" s="65">
        <v>6</v>
      </c>
      <c r="B40" s="416" t="s">
        <v>70</v>
      </c>
      <c r="C40" s="42"/>
      <c r="D40" s="67"/>
      <c r="E40" s="42">
        <f t="shared" ref="E40" si="12">DATEDIF(F40,G40,"d")</f>
        <v>59</v>
      </c>
      <c r="F40" s="55">
        <v>43983</v>
      </c>
      <c r="G40" s="68">
        <v>44042</v>
      </c>
      <c r="H40" s="56" t="s">
        <v>37</v>
      </c>
      <c r="I40" s="57">
        <f>SUM(K40:AC40)</f>
        <v>1</v>
      </c>
      <c r="J40" s="57">
        <f t="shared" si="1"/>
        <v>1</v>
      </c>
      <c r="K40" s="50"/>
      <c r="L40" s="50"/>
      <c r="M40" s="50"/>
      <c r="N40" s="58"/>
      <c r="O40" s="58"/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4">
        <v>0</v>
      </c>
      <c r="V40" s="144">
        <v>0</v>
      </c>
      <c r="W40" s="144">
        <v>0</v>
      </c>
      <c r="X40" s="144">
        <v>0</v>
      </c>
      <c r="Y40" s="216">
        <v>0.2</v>
      </c>
      <c r="Z40" s="216">
        <v>0.8</v>
      </c>
      <c r="AA40" s="51"/>
      <c r="AB40" s="51"/>
      <c r="AC40" s="69"/>
      <c r="AE40" s="64"/>
      <c r="AH40" s="21"/>
      <c r="AI40" s="21"/>
      <c r="AK40" s="200">
        <f t="shared" si="3"/>
        <v>0</v>
      </c>
      <c r="AM40" s="200">
        <v>0</v>
      </c>
      <c r="AN40" s="200">
        <f t="shared" si="4"/>
        <v>0</v>
      </c>
    </row>
    <row r="41" spans="1:40" ht="15.75" customHeight="1" outlineLevel="1" x14ac:dyDescent="0.25">
      <c r="A41" s="70"/>
      <c r="B41" s="71"/>
      <c r="C41" s="42"/>
      <c r="D41" s="67"/>
      <c r="E41" s="42"/>
      <c r="F41" s="72"/>
      <c r="G41" s="73"/>
      <c r="H41" s="56" t="s">
        <v>36</v>
      </c>
      <c r="I41" s="164">
        <f>167.37*1.051*1.05</f>
        <v>184.70116350000001</v>
      </c>
      <c r="J41" s="153">
        <f t="shared" si="1"/>
        <v>184.70116350000001</v>
      </c>
      <c r="K41" s="149"/>
      <c r="L41" s="149"/>
      <c r="M41" s="147"/>
      <c r="N41" s="147"/>
      <c r="O41" s="147"/>
      <c r="P41" s="147">
        <f>I41*P40</f>
        <v>0</v>
      </c>
      <c r="Q41" s="147">
        <f>I41*Q40</f>
        <v>0</v>
      </c>
      <c r="R41" s="150">
        <f>I41*R40</f>
        <v>0</v>
      </c>
      <c r="S41" s="150"/>
      <c r="T41" s="148">
        <f>$I41*T40</f>
        <v>0</v>
      </c>
      <c r="U41" s="148">
        <f t="shared" ref="U41:Z41" si="13">$I41*U40</f>
        <v>0</v>
      </c>
      <c r="V41" s="148">
        <f t="shared" si="13"/>
        <v>0</v>
      </c>
      <c r="W41" s="148">
        <f t="shared" si="13"/>
        <v>0</v>
      </c>
      <c r="X41" s="148">
        <f t="shared" si="13"/>
        <v>0</v>
      </c>
      <c r="Y41" s="148">
        <f t="shared" si="13"/>
        <v>36.940232700000003</v>
      </c>
      <c r="Z41" s="148">
        <f t="shared" si="13"/>
        <v>147.76093080000001</v>
      </c>
      <c r="AA41" s="148"/>
      <c r="AB41" s="148"/>
      <c r="AC41" s="53"/>
      <c r="AE41" s="75">
        <v>-8297.56675</v>
      </c>
      <c r="AF41" s="76" t="s">
        <v>38</v>
      </c>
      <c r="AH41" s="21">
        <v>13473.14</v>
      </c>
      <c r="AI41" s="21">
        <f>I41</f>
        <v>184.70116350000001</v>
      </c>
      <c r="AJ41" s="21"/>
      <c r="AK41" s="200">
        <f t="shared" si="3"/>
        <v>1</v>
      </c>
      <c r="AM41" s="200">
        <v>1</v>
      </c>
      <c r="AN41" s="200">
        <f t="shared" si="4"/>
        <v>0</v>
      </c>
    </row>
    <row r="42" spans="1:40" ht="15.75" customHeight="1" outlineLevel="1" x14ac:dyDescent="0.25">
      <c r="A42" s="54">
        <v>7</v>
      </c>
      <c r="B42" s="416" t="s">
        <v>69</v>
      </c>
      <c r="C42" s="49"/>
      <c r="D42" s="30"/>
      <c r="E42" s="42">
        <f t="shared" ref="E42" si="14">DATEDIF(F42,G42,"d")</f>
        <v>29</v>
      </c>
      <c r="F42" s="55">
        <v>43983</v>
      </c>
      <c r="G42" s="55">
        <v>44012</v>
      </c>
      <c r="H42" s="56" t="s">
        <v>37</v>
      </c>
      <c r="I42" s="57">
        <f>SUM(K42:AC42)</f>
        <v>1</v>
      </c>
      <c r="J42" s="57">
        <f t="shared" si="1"/>
        <v>1</v>
      </c>
      <c r="K42" s="50"/>
      <c r="L42" s="50"/>
      <c r="M42" s="50"/>
      <c r="N42" s="58"/>
      <c r="O42" s="58"/>
      <c r="P42" s="144">
        <v>0</v>
      </c>
      <c r="Q42" s="144">
        <v>0</v>
      </c>
      <c r="R42" s="144">
        <v>0</v>
      </c>
      <c r="S42" s="216">
        <v>0</v>
      </c>
      <c r="T42" s="216">
        <v>0.5</v>
      </c>
      <c r="U42" s="216">
        <v>0.5</v>
      </c>
      <c r="V42" s="59"/>
      <c r="W42" s="59"/>
      <c r="X42" s="59"/>
      <c r="Y42" s="59"/>
      <c r="Z42" s="59"/>
      <c r="AA42" s="59"/>
      <c r="AB42" s="59"/>
      <c r="AC42" s="53"/>
      <c r="AE42" s="40"/>
      <c r="AH42" s="21"/>
      <c r="AK42" s="200">
        <f t="shared" si="3"/>
        <v>70.627200000000002</v>
      </c>
      <c r="AM42" s="200">
        <v>70.627200000000002</v>
      </c>
      <c r="AN42" s="200">
        <f t="shared" si="4"/>
        <v>0</v>
      </c>
    </row>
    <row r="43" spans="1:40" ht="15.75" customHeight="1" outlineLevel="1" x14ac:dyDescent="0.25">
      <c r="A43" s="60"/>
      <c r="B43" s="61"/>
      <c r="C43" s="49"/>
      <c r="D43" s="30"/>
      <c r="E43" s="42"/>
      <c r="F43" s="62"/>
      <c r="G43" s="62"/>
      <c r="H43" s="56" t="s">
        <v>36</v>
      </c>
      <c r="I43" s="164">
        <f>64*1.05*1.051</f>
        <v>70.627200000000002</v>
      </c>
      <c r="J43" s="153">
        <f t="shared" si="1"/>
        <v>70.627200000000002</v>
      </c>
      <c r="K43" s="147"/>
      <c r="L43" s="147"/>
      <c r="M43" s="147"/>
      <c r="N43" s="147"/>
      <c r="O43" s="147"/>
      <c r="P43" s="147">
        <f>I43*P42</f>
        <v>0</v>
      </c>
      <c r="Q43" s="147">
        <f>I43*Q42</f>
        <v>0</v>
      </c>
      <c r="R43" s="148"/>
      <c r="S43" s="148">
        <f>$I43*S42</f>
        <v>0</v>
      </c>
      <c r="T43" s="148">
        <f t="shared" ref="T43:U43" si="15">$I43*T42</f>
        <v>35.313600000000001</v>
      </c>
      <c r="U43" s="148">
        <f t="shared" si="15"/>
        <v>35.313600000000001</v>
      </c>
      <c r="V43" s="148"/>
      <c r="W43" s="148"/>
      <c r="X43" s="148"/>
      <c r="Y43" s="148"/>
      <c r="Z43" s="148"/>
      <c r="AA43" s="148"/>
      <c r="AB43" s="148"/>
      <c r="AC43" s="53"/>
      <c r="AE43" s="64">
        <v>109.95413999999982</v>
      </c>
      <c r="AF43" s="21" t="e">
        <f>#REF!+#REF!+#REF!</f>
        <v>#REF!</v>
      </c>
      <c r="AH43" s="21">
        <v>6899.9044400000002</v>
      </c>
      <c r="AI43" s="21">
        <f>I43</f>
        <v>70.627200000000002</v>
      </c>
      <c r="AK43" s="200">
        <f t="shared" si="3"/>
        <v>0</v>
      </c>
      <c r="AM43" s="200">
        <v>0</v>
      </c>
      <c r="AN43" s="200">
        <f t="shared" si="4"/>
        <v>0</v>
      </c>
    </row>
    <row r="44" spans="1:40" ht="15.75" customHeight="1" outlineLevel="1" x14ac:dyDescent="0.25">
      <c r="A44" s="54">
        <v>8</v>
      </c>
      <c r="B44" s="66" t="s">
        <v>71</v>
      </c>
      <c r="C44" s="49"/>
      <c r="D44" s="30"/>
      <c r="E44" s="42">
        <f t="shared" ref="E44" si="16">DATEDIF(F44,G44,"d")</f>
        <v>29</v>
      </c>
      <c r="F44" s="55">
        <v>44013</v>
      </c>
      <c r="G44" s="55">
        <v>44042</v>
      </c>
      <c r="H44" s="56" t="s">
        <v>37</v>
      </c>
      <c r="I44" s="57">
        <f>SUM(K44:AC44)</f>
        <v>1</v>
      </c>
      <c r="J44" s="57">
        <f t="shared" si="1"/>
        <v>1</v>
      </c>
      <c r="K44" s="50"/>
      <c r="L44" s="50"/>
      <c r="M44" s="50"/>
      <c r="N44" s="58"/>
      <c r="O44" s="58"/>
      <c r="P44" s="58"/>
      <c r="Q44" s="144">
        <v>0</v>
      </c>
      <c r="R44" s="144">
        <v>0</v>
      </c>
      <c r="S44" s="144">
        <v>0</v>
      </c>
      <c r="T44" s="144">
        <v>0</v>
      </c>
      <c r="U44" s="144">
        <v>0</v>
      </c>
      <c r="V44" s="144">
        <v>0</v>
      </c>
      <c r="W44" s="144">
        <v>0</v>
      </c>
      <c r="X44" s="144">
        <v>0</v>
      </c>
      <c r="Y44" s="144">
        <v>0</v>
      </c>
      <c r="Z44" s="216">
        <v>1</v>
      </c>
      <c r="AA44" s="51"/>
      <c r="AB44" s="51"/>
      <c r="AC44" s="53"/>
      <c r="AE44" s="64"/>
      <c r="AH44" s="21"/>
      <c r="AI44" s="21"/>
      <c r="AK44" s="200">
        <f t="shared" si="3"/>
        <v>0</v>
      </c>
      <c r="AM44" s="200">
        <v>0</v>
      </c>
      <c r="AN44" s="200">
        <f t="shared" si="4"/>
        <v>0</v>
      </c>
    </row>
    <row r="45" spans="1:40" ht="15.75" customHeight="1" outlineLevel="1" x14ac:dyDescent="0.25">
      <c r="A45" s="60"/>
      <c r="B45" s="71"/>
      <c r="C45" s="49"/>
      <c r="D45" s="30"/>
      <c r="E45" s="42"/>
      <c r="F45" s="62"/>
      <c r="G45" s="62"/>
      <c r="H45" s="56" t="s">
        <v>36</v>
      </c>
      <c r="I45" s="164">
        <f>8.69*1.051*1.05</f>
        <v>9.5898494999999997</v>
      </c>
      <c r="J45" s="153">
        <f t="shared" si="1"/>
        <v>9.5898494999999997</v>
      </c>
      <c r="K45" s="147"/>
      <c r="L45" s="147"/>
      <c r="M45" s="147"/>
      <c r="N45" s="147"/>
      <c r="O45" s="147"/>
      <c r="P45" s="147"/>
      <c r="Q45" s="147">
        <f>I45*Q44</f>
        <v>0</v>
      </c>
      <c r="R45" s="148">
        <f>$I45*R44</f>
        <v>0</v>
      </c>
      <c r="S45" s="148">
        <f t="shared" ref="S45:Z45" si="17">$I45*S44</f>
        <v>0</v>
      </c>
      <c r="T45" s="148">
        <f t="shared" si="17"/>
        <v>0</v>
      </c>
      <c r="U45" s="148">
        <f t="shared" si="17"/>
        <v>0</v>
      </c>
      <c r="V45" s="148">
        <f t="shared" si="17"/>
        <v>0</v>
      </c>
      <c r="W45" s="148">
        <f t="shared" si="17"/>
        <v>0</v>
      </c>
      <c r="X45" s="148">
        <f t="shared" si="17"/>
        <v>0</v>
      </c>
      <c r="Y45" s="148">
        <f t="shared" si="17"/>
        <v>0</v>
      </c>
      <c r="Z45" s="148">
        <f t="shared" si="17"/>
        <v>9.5898494999999997</v>
      </c>
      <c r="AA45" s="148"/>
      <c r="AB45" s="148"/>
      <c r="AC45" s="53"/>
      <c r="AE45" s="64">
        <v>0.23423000000002503</v>
      </c>
      <c r="AH45" s="21">
        <v>7126.4367700000003</v>
      </c>
      <c r="AI45" s="21">
        <f>I45</f>
        <v>9.5898494999999997</v>
      </c>
      <c r="AK45" s="200">
        <f t="shared" si="3"/>
        <v>0</v>
      </c>
      <c r="AM45" s="200">
        <v>0</v>
      </c>
      <c r="AN45" s="200">
        <f t="shared" si="4"/>
        <v>0</v>
      </c>
    </row>
    <row r="46" spans="1:40" s="18" customFormat="1" ht="15.75" customHeight="1" outlineLevel="1" x14ac:dyDescent="0.25">
      <c r="A46" s="65">
        <v>9</v>
      </c>
      <c r="B46" s="416" t="s">
        <v>105</v>
      </c>
      <c r="C46" s="42"/>
      <c r="D46" s="67"/>
      <c r="E46" s="42">
        <f t="shared" ref="E46" si="18">DATEDIF(F46,G46,"d")</f>
        <v>29</v>
      </c>
      <c r="F46" s="55">
        <v>44044</v>
      </c>
      <c r="G46" s="68">
        <v>44073</v>
      </c>
      <c r="H46" s="56" t="s">
        <v>37</v>
      </c>
      <c r="I46" s="57">
        <f>SUM(K46:AC46)</f>
        <v>1</v>
      </c>
      <c r="J46" s="57">
        <f t="shared" si="1"/>
        <v>1</v>
      </c>
      <c r="K46" s="50"/>
      <c r="L46" s="50"/>
      <c r="M46" s="50"/>
      <c r="N46" s="58"/>
      <c r="O46" s="58"/>
      <c r="P46" s="58"/>
      <c r="Q46" s="58"/>
      <c r="R46" s="137">
        <v>0</v>
      </c>
      <c r="S46" s="137">
        <v>0</v>
      </c>
      <c r="T46" s="137">
        <v>0</v>
      </c>
      <c r="U46" s="137">
        <v>0</v>
      </c>
      <c r="V46" s="137">
        <v>0</v>
      </c>
      <c r="W46" s="137">
        <v>0</v>
      </c>
      <c r="X46" s="137">
        <v>0</v>
      </c>
      <c r="Y46" s="216">
        <v>0.5</v>
      </c>
      <c r="Z46" s="216">
        <v>0.5</v>
      </c>
      <c r="AA46" s="51"/>
      <c r="AB46" s="51"/>
      <c r="AC46" s="69"/>
      <c r="AE46" s="64"/>
      <c r="AH46" s="21"/>
      <c r="AI46" s="21"/>
      <c r="AK46" s="200">
        <f t="shared" si="3"/>
        <v>0</v>
      </c>
      <c r="AM46" s="200">
        <v>0</v>
      </c>
      <c r="AN46" s="200">
        <f t="shared" si="4"/>
        <v>0</v>
      </c>
    </row>
    <row r="47" spans="1:40" ht="15.75" customHeight="1" outlineLevel="1" x14ac:dyDescent="0.25">
      <c r="A47" s="70"/>
      <c r="B47" s="61"/>
      <c r="C47" s="42"/>
      <c r="D47" s="67"/>
      <c r="E47" s="42"/>
      <c r="F47" s="72"/>
      <c r="G47" s="73"/>
      <c r="H47" s="56" t="s">
        <v>36</v>
      </c>
      <c r="I47" s="164">
        <f>3046.9*1.051*1.05</f>
        <v>3362.4064949999997</v>
      </c>
      <c r="J47" s="153">
        <f t="shared" si="1"/>
        <v>3362.4064949999997</v>
      </c>
      <c r="K47" s="149"/>
      <c r="L47" s="149"/>
      <c r="M47" s="147"/>
      <c r="N47" s="147"/>
      <c r="O47" s="147"/>
      <c r="P47" s="147"/>
      <c r="Q47" s="147"/>
      <c r="R47" s="150">
        <f>I47*R46</f>
        <v>0</v>
      </c>
      <c r="S47" s="150">
        <f>$I47*S46</f>
        <v>0</v>
      </c>
      <c r="T47" s="150">
        <f t="shared" ref="T47:Z47" si="19">$I47*T46</f>
        <v>0</v>
      </c>
      <c r="U47" s="150">
        <f t="shared" si="19"/>
        <v>0</v>
      </c>
      <c r="V47" s="150">
        <f t="shared" si="19"/>
        <v>0</v>
      </c>
      <c r="W47" s="150">
        <f t="shared" si="19"/>
        <v>0</v>
      </c>
      <c r="X47" s="150">
        <f t="shared" si="19"/>
        <v>0</v>
      </c>
      <c r="Y47" s="150">
        <f t="shared" si="19"/>
        <v>1681.2032474999999</v>
      </c>
      <c r="Z47" s="150">
        <f t="shared" si="19"/>
        <v>1681.2032474999999</v>
      </c>
      <c r="AA47" s="148"/>
      <c r="AB47" s="148"/>
      <c r="AC47" s="53"/>
      <c r="AE47" s="75">
        <v>-8297.56675</v>
      </c>
      <c r="AF47" s="76" t="s">
        <v>38</v>
      </c>
      <c r="AH47" s="21">
        <v>13473.14</v>
      </c>
      <c r="AI47" s="21">
        <f>I47</f>
        <v>3362.4064949999997</v>
      </c>
      <c r="AJ47" s="21"/>
      <c r="AK47" s="200">
        <f t="shared" si="3"/>
        <v>0</v>
      </c>
      <c r="AM47" s="200">
        <v>0</v>
      </c>
      <c r="AN47" s="200">
        <f t="shared" si="4"/>
        <v>0</v>
      </c>
    </row>
    <row r="48" spans="1:40" ht="15.75" customHeight="1" outlineLevel="1" x14ac:dyDescent="0.25">
      <c r="A48" s="54">
        <v>10</v>
      </c>
      <c r="B48" s="416" t="s">
        <v>72</v>
      </c>
      <c r="C48" s="49"/>
      <c r="D48" s="30"/>
      <c r="E48" s="42">
        <f t="shared" ref="E48" si="20">DATEDIF(F48,G48,"d")</f>
        <v>29</v>
      </c>
      <c r="F48" s="55">
        <v>44075</v>
      </c>
      <c r="G48" s="55">
        <v>44104</v>
      </c>
      <c r="H48" s="56" t="s">
        <v>37</v>
      </c>
      <c r="I48" s="57">
        <f>SUM(K48:AC48)</f>
        <v>1</v>
      </c>
      <c r="J48" s="57">
        <f t="shared" si="1"/>
        <v>1</v>
      </c>
      <c r="K48" s="50"/>
      <c r="L48" s="50"/>
      <c r="M48" s="50"/>
      <c r="N48" s="58"/>
      <c r="O48" s="58"/>
      <c r="P48" s="58"/>
      <c r="Q48" s="58"/>
      <c r="R48" s="59"/>
      <c r="S48" s="137">
        <v>0</v>
      </c>
      <c r="T48" s="137">
        <v>0</v>
      </c>
      <c r="U48" s="137">
        <v>0</v>
      </c>
      <c r="V48" s="137">
        <v>0</v>
      </c>
      <c r="W48" s="137">
        <v>0</v>
      </c>
      <c r="X48" s="137">
        <v>0</v>
      </c>
      <c r="Y48" s="215">
        <v>0.5</v>
      </c>
      <c r="Z48" s="215">
        <v>0.5</v>
      </c>
      <c r="AA48" s="59"/>
      <c r="AB48" s="59"/>
      <c r="AC48" s="53"/>
      <c r="AE48" s="40"/>
      <c r="AH48" s="21"/>
      <c r="AK48" s="200">
        <f t="shared" si="3"/>
        <v>0</v>
      </c>
      <c r="AM48" s="200">
        <v>0</v>
      </c>
      <c r="AN48" s="200">
        <f t="shared" si="4"/>
        <v>0</v>
      </c>
    </row>
    <row r="49" spans="1:40" ht="15.75" customHeight="1" outlineLevel="1" x14ac:dyDescent="0.25">
      <c r="A49" s="60"/>
      <c r="B49" s="61"/>
      <c r="C49" s="49"/>
      <c r="D49" s="30"/>
      <c r="E49" s="42"/>
      <c r="F49" s="62"/>
      <c r="G49" s="62"/>
      <c r="H49" s="56" t="s">
        <v>36</v>
      </c>
      <c r="I49" s="164">
        <f>324.22*1.051*1.05</f>
        <v>357.792981</v>
      </c>
      <c r="J49" s="153">
        <f t="shared" si="1"/>
        <v>357.792981</v>
      </c>
      <c r="K49" s="147"/>
      <c r="L49" s="147"/>
      <c r="M49" s="147"/>
      <c r="N49" s="147"/>
      <c r="O49" s="147"/>
      <c r="P49" s="147"/>
      <c r="Q49" s="147"/>
      <c r="R49" s="148"/>
      <c r="S49" s="148">
        <f>$I49*S48</f>
        <v>0</v>
      </c>
      <c r="T49" s="148">
        <f t="shared" ref="T49:Z49" si="21">$I49*T48</f>
        <v>0</v>
      </c>
      <c r="U49" s="148">
        <f t="shared" si="21"/>
        <v>0</v>
      </c>
      <c r="V49" s="148">
        <f t="shared" si="21"/>
        <v>0</v>
      </c>
      <c r="W49" s="148">
        <f t="shared" si="21"/>
        <v>0</v>
      </c>
      <c r="X49" s="148">
        <f t="shared" si="21"/>
        <v>0</v>
      </c>
      <c r="Y49" s="148">
        <f t="shared" si="21"/>
        <v>178.8964905</v>
      </c>
      <c r="Z49" s="148">
        <f t="shared" si="21"/>
        <v>178.8964905</v>
      </c>
      <c r="AA49" s="148"/>
      <c r="AB49" s="148"/>
      <c r="AC49" s="53"/>
      <c r="AE49" s="64">
        <v>109.95413999999982</v>
      </c>
      <c r="AF49" s="21" t="e">
        <f>#REF!+#REF!+#REF!</f>
        <v>#REF!</v>
      </c>
      <c r="AH49" s="21">
        <v>6899.9044400000002</v>
      </c>
      <c r="AI49" s="21">
        <f>I49</f>
        <v>357.792981</v>
      </c>
      <c r="AK49" s="200">
        <f t="shared" si="3"/>
        <v>0</v>
      </c>
      <c r="AM49" s="200">
        <v>0</v>
      </c>
      <c r="AN49" s="200">
        <f t="shared" si="4"/>
        <v>0</v>
      </c>
    </row>
    <row r="50" spans="1:40" ht="15.75" customHeight="1" outlineLevel="1" x14ac:dyDescent="0.25">
      <c r="A50" s="54">
        <v>11</v>
      </c>
      <c r="B50" s="66" t="s">
        <v>73</v>
      </c>
      <c r="C50" s="49"/>
      <c r="D50" s="30"/>
      <c r="E50" s="42">
        <f t="shared" ref="E50" si="22">DATEDIF(F50,G50,"d")</f>
        <v>29</v>
      </c>
      <c r="F50" s="55">
        <v>44105</v>
      </c>
      <c r="G50" s="55">
        <v>44134</v>
      </c>
      <c r="H50" s="56" t="s">
        <v>37</v>
      </c>
      <c r="I50" s="57">
        <f>SUM(K50:AC50)</f>
        <v>1</v>
      </c>
      <c r="J50" s="57">
        <f t="shared" si="1"/>
        <v>1</v>
      </c>
      <c r="K50" s="50"/>
      <c r="L50" s="50"/>
      <c r="M50" s="50"/>
      <c r="N50" s="58"/>
      <c r="O50" s="58"/>
      <c r="P50" s="58"/>
      <c r="Q50" s="58"/>
      <c r="R50" s="59"/>
      <c r="S50" s="59"/>
      <c r="T50" s="137">
        <v>0</v>
      </c>
      <c r="U50" s="137">
        <v>0</v>
      </c>
      <c r="V50" s="137">
        <v>0</v>
      </c>
      <c r="W50" s="137">
        <v>0</v>
      </c>
      <c r="X50" s="137">
        <v>0</v>
      </c>
      <c r="Y50" s="215">
        <v>0.5</v>
      </c>
      <c r="Z50" s="215">
        <v>0.5</v>
      </c>
      <c r="AA50" s="51"/>
      <c r="AB50" s="51"/>
      <c r="AC50" s="53"/>
      <c r="AE50" s="64"/>
      <c r="AH50" s="21"/>
      <c r="AI50" s="21"/>
      <c r="AK50" s="200">
        <f t="shared" si="3"/>
        <v>0</v>
      </c>
      <c r="AM50" s="200">
        <v>0</v>
      </c>
      <c r="AN50" s="200">
        <f t="shared" si="4"/>
        <v>0</v>
      </c>
    </row>
    <row r="51" spans="1:40" ht="15.75" customHeight="1" outlineLevel="1" x14ac:dyDescent="0.25">
      <c r="A51" s="60"/>
      <c r="B51" s="71"/>
      <c r="C51" s="49"/>
      <c r="D51" s="30"/>
      <c r="E51" s="42"/>
      <c r="F51" s="62"/>
      <c r="G51" s="62"/>
      <c r="H51" s="56" t="s">
        <v>36</v>
      </c>
      <c r="I51" s="164">
        <f>4198.38*1.051*1.05</f>
        <v>4633.122249</v>
      </c>
      <c r="J51" s="153">
        <f t="shared" si="1"/>
        <v>4633.122249</v>
      </c>
      <c r="K51" s="147"/>
      <c r="L51" s="147"/>
      <c r="M51" s="147"/>
      <c r="N51" s="147"/>
      <c r="O51" s="147"/>
      <c r="P51" s="147"/>
      <c r="Q51" s="147"/>
      <c r="R51" s="148"/>
      <c r="S51" s="148"/>
      <c r="T51" s="148">
        <f>$I51*T50</f>
        <v>0</v>
      </c>
      <c r="U51" s="148">
        <f t="shared" ref="U51:Z51" si="23">$I51*U50</f>
        <v>0</v>
      </c>
      <c r="V51" s="148">
        <f t="shared" si="23"/>
        <v>0</v>
      </c>
      <c r="W51" s="148">
        <f t="shared" si="23"/>
        <v>0</v>
      </c>
      <c r="X51" s="148">
        <f t="shared" si="23"/>
        <v>0</v>
      </c>
      <c r="Y51" s="148">
        <f t="shared" si="23"/>
        <v>2316.5611245</v>
      </c>
      <c r="Z51" s="148">
        <f t="shared" si="23"/>
        <v>2316.5611245</v>
      </c>
      <c r="AA51" s="148"/>
      <c r="AB51" s="148"/>
      <c r="AC51" s="53"/>
      <c r="AE51" s="64">
        <v>0.23423000000002503</v>
      </c>
      <c r="AH51" s="21">
        <v>7126.4367700000003</v>
      </c>
      <c r="AI51" s="21">
        <f>I51</f>
        <v>4633.122249</v>
      </c>
      <c r="AK51" s="200">
        <f t="shared" si="3"/>
        <v>0</v>
      </c>
      <c r="AM51" s="200">
        <v>0</v>
      </c>
      <c r="AN51" s="200">
        <f t="shared" si="4"/>
        <v>0</v>
      </c>
    </row>
    <row r="52" spans="1:40" ht="18.75" customHeight="1" x14ac:dyDescent="0.25">
      <c r="A52" s="34"/>
      <c r="B52" s="66" t="s">
        <v>104</v>
      </c>
      <c r="C52" s="42"/>
      <c r="D52" s="67"/>
      <c r="E52" s="42"/>
      <c r="F52" s="77"/>
      <c r="G52" s="56"/>
      <c r="H52" s="56"/>
      <c r="I52" s="78"/>
      <c r="J52" s="78">
        <f t="shared" si="1"/>
        <v>0</v>
      </c>
      <c r="K52" s="74"/>
      <c r="L52" s="74"/>
      <c r="M52" s="50"/>
      <c r="N52" s="50"/>
      <c r="O52" s="50"/>
      <c r="P52" s="50"/>
      <c r="Q52" s="50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3"/>
      <c r="AE52" s="64"/>
      <c r="AH52" s="21"/>
      <c r="AI52" s="21"/>
      <c r="AK52" s="200">
        <f t="shared" si="3"/>
        <v>0</v>
      </c>
      <c r="AM52" s="200">
        <v>0</v>
      </c>
      <c r="AN52" s="200">
        <f t="shared" si="4"/>
        <v>0</v>
      </c>
    </row>
    <row r="53" spans="1:40" ht="15.75" customHeight="1" outlineLevel="1" x14ac:dyDescent="0.25">
      <c r="A53" s="79" t="s">
        <v>93</v>
      </c>
      <c r="B53" s="556" t="s">
        <v>92</v>
      </c>
      <c r="C53" s="38"/>
      <c r="D53" s="80"/>
      <c r="E53" s="38">
        <f t="shared" ref="E53" si="24">DATEDIF(F53,G53,"d")</f>
        <v>39</v>
      </c>
      <c r="F53" s="81">
        <v>44075</v>
      </c>
      <c r="G53" s="81">
        <v>44114</v>
      </c>
      <c r="H53" s="56" t="s">
        <v>37</v>
      </c>
      <c r="I53" s="57">
        <f>SUM(K53:AC53)</f>
        <v>1.22</v>
      </c>
      <c r="J53" s="146">
        <f t="shared" si="1"/>
        <v>1.22</v>
      </c>
      <c r="K53" s="74"/>
      <c r="L53" s="74"/>
      <c r="M53" s="50"/>
      <c r="N53" s="50"/>
      <c r="O53" s="50"/>
      <c r="P53" s="50"/>
      <c r="Q53" s="50"/>
      <c r="R53" s="51"/>
      <c r="S53" s="137">
        <v>0</v>
      </c>
      <c r="T53" s="137">
        <v>0</v>
      </c>
      <c r="U53" s="137">
        <v>0</v>
      </c>
      <c r="V53" s="137">
        <v>0</v>
      </c>
      <c r="W53" s="137">
        <v>0</v>
      </c>
      <c r="X53" s="137">
        <v>0</v>
      </c>
      <c r="Y53" s="215">
        <v>0.5</v>
      </c>
      <c r="Z53" s="215">
        <v>0.5</v>
      </c>
      <c r="AA53" s="258">
        <f>S89+T89</f>
        <v>0.22</v>
      </c>
      <c r="AB53" s="51"/>
      <c r="AC53" s="53"/>
      <c r="AE53" s="64"/>
      <c r="AH53" s="21"/>
      <c r="AI53" s="21"/>
      <c r="AK53" s="200">
        <f t="shared" si="3"/>
        <v>0</v>
      </c>
      <c r="AM53" s="200">
        <v>0</v>
      </c>
      <c r="AN53" s="200">
        <f t="shared" si="4"/>
        <v>0</v>
      </c>
    </row>
    <row r="54" spans="1:40" ht="15.75" customHeight="1" outlineLevel="1" x14ac:dyDescent="0.25">
      <c r="A54" s="60"/>
      <c r="B54" s="557"/>
      <c r="C54" s="49"/>
      <c r="D54" s="30"/>
      <c r="E54" s="42"/>
      <c r="F54" s="62"/>
      <c r="G54" s="62"/>
      <c r="H54" s="56" t="s">
        <v>36</v>
      </c>
      <c r="I54" s="165">
        <f>4419.47997*1.051*1.05</f>
        <v>4877.1171208935002</v>
      </c>
      <c r="J54" s="154">
        <f t="shared" si="1"/>
        <v>4877.1171208935002</v>
      </c>
      <c r="K54" s="147"/>
      <c r="L54" s="147"/>
      <c r="M54" s="147"/>
      <c r="N54" s="147"/>
      <c r="O54" s="147"/>
      <c r="P54" s="147"/>
      <c r="Q54" s="147"/>
      <c r="R54" s="148"/>
      <c r="S54" s="148">
        <f>$I54*S53</f>
        <v>0</v>
      </c>
      <c r="T54" s="148">
        <f t="shared" ref="T54:Z54" si="25">$I54*T53</f>
        <v>0</v>
      </c>
      <c r="U54" s="148">
        <f t="shared" si="25"/>
        <v>0</v>
      </c>
      <c r="V54" s="148">
        <f t="shared" si="25"/>
        <v>0</v>
      </c>
      <c r="W54" s="148">
        <f t="shared" si="25"/>
        <v>0</v>
      </c>
      <c r="X54" s="148">
        <f t="shared" si="25"/>
        <v>0</v>
      </c>
      <c r="Y54" s="148">
        <f t="shared" si="25"/>
        <v>2438.5585604467501</v>
      </c>
      <c r="Z54" s="148">
        <f t="shared" si="25"/>
        <v>2438.5585604467501</v>
      </c>
      <c r="AA54" s="148"/>
      <c r="AB54" s="148"/>
      <c r="AC54" s="53"/>
      <c r="AE54" s="64">
        <v>109.95413999999982</v>
      </c>
      <c r="AF54" s="21" t="e">
        <f>#REF!+#REF!+#REF!</f>
        <v>#REF!</v>
      </c>
      <c r="AH54" s="21">
        <v>6899.9044400000002</v>
      </c>
      <c r="AI54" s="21">
        <f>I54</f>
        <v>4877.1171208935002</v>
      </c>
      <c r="AK54" s="200">
        <f t="shared" si="3"/>
        <v>0</v>
      </c>
      <c r="AM54" s="200">
        <v>0</v>
      </c>
      <c r="AN54" s="200">
        <f t="shared" si="4"/>
        <v>0</v>
      </c>
    </row>
    <row r="55" spans="1:40" ht="22.5" customHeight="1" outlineLevel="1" x14ac:dyDescent="0.25">
      <c r="A55" s="79" t="s">
        <v>94</v>
      </c>
      <c r="B55" s="556" t="s">
        <v>97</v>
      </c>
      <c r="C55" s="38"/>
      <c r="D55" s="80"/>
      <c r="E55" s="38">
        <f t="shared" ref="E55" si="26">DATEDIF(F55,G55,"d")</f>
        <v>39</v>
      </c>
      <c r="F55" s="81">
        <v>44075</v>
      </c>
      <c r="G55" s="81">
        <v>44114</v>
      </c>
      <c r="H55" s="56" t="s">
        <v>37</v>
      </c>
      <c r="I55" s="57">
        <f>SUM(K55:AC55)</f>
        <v>1</v>
      </c>
      <c r="J55" s="146">
        <f t="shared" si="1"/>
        <v>1</v>
      </c>
      <c r="K55" s="74"/>
      <c r="L55" s="74"/>
      <c r="M55" s="50"/>
      <c r="N55" s="50"/>
      <c r="O55" s="50"/>
      <c r="P55" s="50"/>
      <c r="Q55" s="50"/>
      <c r="R55" s="51"/>
      <c r="S55" s="137">
        <v>0</v>
      </c>
      <c r="T55" s="137">
        <v>0</v>
      </c>
      <c r="U55" s="137">
        <v>0</v>
      </c>
      <c r="V55" s="137">
        <v>0</v>
      </c>
      <c r="W55" s="137">
        <v>0</v>
      </c>
      <c r="X55" s="137">
        <v>0</v>
      </c>
      <c r="Y55" s="215">
        <v>0.5</v>
      </c>
      <c r="Z55" s="215">
        <v>0.5</v>
      </c>
      <c r="AA55" s="51"/>
      <c r="AB55" s="51"/>
      <c r="AC55" s="53"/>
      <c r="AE55" s="64"/>
      <c r="AH55" s="21"/>
      <c r="AI55" s="21"/>
      <c r="AK55" s="200">
        <f t="shared" si="3"/>
        <v>0</v>
      </c>
      <c r="AM55" s="200">
        <v>0</v>
      </c>
      <c r="AN55" s="200">
        <f t="shared" si="4"/>
        <v>0</v>
      </c>
    </row>
    <row r="56" spans="1:40" ht="22.5" customHeight="1" outlineLevel="1" x14ac:dyDescent="0.25">
      <c r="A56" s="60"/>
      <c r="B56" s="557"/>
      <c r="C56" s="49"/>
      <c r="D56" s="30"/>
      <c r="E56" s="42"/>
      <c r="F56" s="62"/>
      <c r="G56" s="62"/>
      <c r="H56" s="56" t="s">
        <v>36</v>
      </c>
      <c r="I56" s="166">
        <v>9589.1145351064988</v>
      </c>
      <c r="J56" s="154">
        <f t="shared" si="1"/>
        <v>9589.1145351064988</v>
      </c>
      <c r="K56" s="147"/>
      <c r="L56" s="147"/>
      <c r="M56" s="147"/>
      <c r="N56" s="147"/>
      <c r="O56" s="147"/>
      <c r="P56" s="147"/>
      <c r="Q56" s="147"/>
      <c r="R56" s="148"/>
      <c r="S56" s="148">
        <f>$I56*S55</f>
        <v>0</v>
      </c>
      <c r="T56" s="148">
        <f t="shared" ref="T56:Z56" si="27">$I56*T55</f>
        <v>0</v>
      </c>
      <c r="U56" s="148">
        <f t="shared" si="27"/>
        <v>0</v>
      </c>
      <c r="V56" s="148">
        <f t="shared" si="27"/>
        <v>0</v>
      </c>
      <c r="W56" s="148">
        <f t="shared" si="27"/>
        <v>0</v>
      </c>
      <c r="X56" s="148">
        <f t="shared" si="27"/>
        <v>0</v>
      </c>
      <c r="Y56" s="148">
        <f t="shared" si="27"/>
        <v>4794.5572675532494</v>
      </c>
      <c r="Z56" s="148">
        <f t="shared" si="27"/>
        <v>4794.5572675532494</v>
      </c>
      <c r="AA56" s="148"/>
      <c r="AB56" s="148"/>
      <c r="AC56" s="53"/>
      <c r="AE56" s="64">
        <v>109.95413999999982</v>
      </c>
      <c r="AF56" s="21" t="e">
        <f>#REF!+#REF!+#REF!</f>
        <v>#REF!</v>
      </c>
      <c r="AH56" s="21">
        <v>6899.9044400000002</v>
      </c>
      <c r="AI56" s="21">
        <f>I56</f>
        <v>9589.1145351064988</v>
      </c>
      <c r="AK56" s="200">
        <f t="shared" si="3"/>
        <v>0</v>
      </c>
      <c r="AM56" s="200">
        <v>0</v>
      </c>
      <c r="AN56" s="200">
        <f t="shared" si="4"/>
        <v>0</v>
      </c>
    </row>
    <row r="57" spans="1:40" ht="18.75" customHeight="1" outlineLevel="1" x14ac:dyDescent="0.25">
      <c r="A57" s="79" t="s">
        <v>95</v>
      </c>
      <c r="B57" s="556" t="s">
        <v>96</v>
      </c>
      <c r="C57" s="38"/>
      <c r="D57" s="80"/>
      <c r="E57" s="38">
        <f t="shared" ref="E57" si="28">DATEDIF(F57,G57,"d")</f>
        <v>39</v>
      </c>
      <c r="F57" s="81">
        <v>44075</v>
      </c>
      <c r="G57" s="81">
        <v>44114</v>
      </c>
      <c r="H57" s="56" t="s">
        <v>37</v>
      </c>
      <c r="I57" s="57">
        <f>SUM(K57:AC57)</f>
        <v>1</v>
      </c>
      <c r="J57" s="146">
        <f t="shared" si="1"/>
        <v>1</v>
      </c>
      <c r="K57" s="74"/>
      <c r="L57" s="74"/>
      <c r="M57" s="50"/>
      <c r="N57" s="50"/>
      <c r="O57" s="50"/>
      <c r="P57" s="50"/>
      <c r="Q57" s="50"/>
      <c r="R57" s="51"/>
      <c r="S57" s="137">
        <v>0</v>
      </c>
      <c r="T57" s="137">
        <v>0</v>
      </c>
      <c r="U57" s="137">
        <v>0</v>
      </c>
      <c r="V57" s="137">
        <v>0</v>
      </c>
      <c r="W57" s="137">
        <v>0</v>
      </c>
      <c r="X57" s="137">
        <v>0</v>
      </c>
      <c r="Y57" s="215">
        <v>0.5</v>
      </c>
      <c r="Z57" s="215">
        <v>0.5</v>
      </c>
      <c r="AA57" s="51"/>
      <c r="AB57" s="51"/>
      <c r="AC57" s="53"/>
      <c r="AE57" s="64"/>
      <c r="AH57" s="21"/>
      <c r="AI57" s="21"/>
      <c r="AK57" s="200">
        <f t="shared" si="3"/>
        <v>0</v>
      </c>
      <c r="AM57" s="200">
        <v>0</v>
      </c>
      <c r="AN57" s="200">
        <f t="shared" si="4"/>
        <v>0</v>
      </c>
    </row>
    <row r="58" spans="1:40" ht="20.25" customHeight="1" outlineLevel="1" x14ac:dyDescent="0.25">
      <c r="A58" s="60"/>
      <c r="B58" s="557"/>
      <c r="C58" s="49"/>
      <c r="D58" s="30"/>
      <c r="E58" s="42"/>
      <c r="F58" s="62"/>
      <c r="G58" s="62"/>
      <c r="H58" s="56" t="s">
        <v>36</v>
      </c>
      <c r="I58" s="162">
        <v>138.9436</v>
      </c>
      <c r="J58" s="154">
        <f t="shared" si="1"/>
        <v>138.9436</v>
      </c>
      <c r="K58" s="147"/>
      <c r="L58" s="147"/>
      <c r="M58" s="147"/>
      <c r="N58" s="147"/>
      <c r="O58" s="147"/>
      <c r="P58" s="147"/>
      <c r="Q58" s="147"/>
      <c r="R58" s="148"/>
      <c r="S58" s="148">
        <f>$I58*S57</f>
        <v>0</v>
      </c>
      <c r="T58" s="148">
        <f t="shared" ref="T58:Z58" si="29">$I58*T57</f>
        <v>0</v>
      </c>
      <c r="U58" s="148">
        <f t="shared" si="29"/>
        <v>0</v>
      </c>
      <c r="V58" s="148">
        <f t="shared" si="29"/>
        <v>0</v>
      </c>
      <c r="W58" s="148">
        <f t="shared" si="29"/>
        <v>0</v>
      </c>
      <c r="X58" s="148">
        <f t="shared" si="29"/>
        <v>0</v>
      </c>
      <c r="Y58" s="148">
        <f t="shared" si="29"/>
        <v>69.471800000000002</v>
      </c>
      <c r="Z58" s="148">
        <f t="shared" si="29"/>
        <v>69.471800000000002</v>
      </c>
      <c r="AA58" s="148"/>
      <c r="AB58" s="148"/>
      <c r="AC58" s="53"/>
      <c r="AE58" s="64">
        <v>109.95413999999982</v>
      </c>
      <c r="AF58" s="21" t="e">
        <f>#REF!+#REF!+#REF!</f>
        <v>#REF!</v>
      </c>
      <c r="AH58" s="21">
        <v>6899.9044400000002</v>
      </c>
      <c r="AI58" s="21">
        <f>I58</f>
        <v>138.9436</v>
      </c>
      <c r="AK58" s="200">
        <f t="shared" si="3"/>
        <v>0</v>
      </c>
      <c r="AM58" s="200">
        <v>0</v>
      </c>
      <c r="AN58" s="200">
        <f t="shared" si="4"/>
        <v>0</v>
      </c>
    </row>
    <row r="59" spans="1:40" ht="18.75" customHeight="1" x14ac:dyDescent="0.25">
      <c r="A59" s="34" t="s">
        <v>76</v>
      </c>
      <c r="B59" s="66" t="s">
        <v>74</v>
      </c>
      <c r="C59" s="42"/>
      <c r="D59" s="67"/>
      <c r="E59" s="42"/>
      <c r="F59" s="77"/>
      <c r="G59" s="56"/>
      <c r="H59" s="56"/>
      <c r="I59" s="78"/>
      <c r="J59" s="78">
        <f t="shared" si="1"/>
        <v>0</v>
      </c>
      <c r="K59" s="74"/>
      <c r="L59" s="74"/>
      <c r="M59" s="50"/>
      <c r="N59" s="50"/>
      <c r="O59" s="50"/>
      <c r="P59" s="50"/>
      <c r="Q59" s="50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3"/>
      <c r="AE59" s="64"/>
      <c r="AH59" s="21"/>
      <c r="AI59" s="21"/>
      <c r="AK59" s="200">
        <f t="shared" si="3"/>
        <v>0.5</v>
      </c>
      <c r="AM59" s="200">
        <v>0.5</v>
      </c>
      <c r="AN59" s="200">
        <f t="shared" si="4"/>
        <v>0</v>
      </c>
    </row>
    <row r="60" spans="1:40" ht="15.75" customHeight="1" x14ac:dyDescent="0.25">
      <c r="A60" s="54"/>
      <c r="B60" s="416" t="s">
        <v>75</v>
      </c>
      <c r="C60" s="49"/>
      <c r="D60" s="30"/>
      <c r="E60" s="42">
        <f t="shared" ref="E60" si="30">DATEDIF(F60,G60,"d")</f>
        <v>59</v>
      </c>
      <c r="F60" s="55">
        <v>43922</v>
      </c>
      <c r="G60" s="55">
        <v>43981</v>
      </c>
      <c r="H60" s="56" t="s">
        <v>37</v>
      </c>
      <c r="I60" s="57">
        <f>SUM(K60:AC60)</f>
        <v>1</v>
      </c>
      <c r="J60" s="57">
        <f t="shared" si="1"/>
        <v>1</v>
      </c>
      <c r="K60" s="50"/>
      <c r="L60" s="50"/>
      <c r="M60" s="50"/>
      <c r="N60" s="137">
        <v>0</v>
      </c>
      <c r="O60" s="137">
        <v>0</v>
      </c>
      <c r="P60" s="137">
        <f>100%*0</f>
        <v>0</v>
      </c>
      <c r="Q60" s="137">
        <v>0</v>
      </c>
      <c r="R60" s="137">
        <v>0</v>
      </c>
      <c r="S60" s="215">
        <v>0</v>
      </c>
      <c r="T60" s="137">
        <v>0.5</v>
      </c>
      <c r="U60" s="137">
        <v>0</v>
      </c>
      <c r="V60" s="137">
        <v>0</v>
      </c>
      <c r="W60" s="137">
        <v>0</v>
      </c>
      <c r="X60" s="137">
        <v>0</v>
      </c>
      <c r="Y60" s="137">
        <v>0</v>
      </c>
      <c r="Z60" s="137">
        <v>0</v>
      </c>
      <c r="AA60" s="215">
        <v>0.5</v>
      </c>
      <c r="AB60" s="51"/>
      <c r="AC60" s="53"/>
      <c r="AE60" s="64"/>
      <c r="AH60" s="21"/>
      <c r="AI60" s="21"/>
      <c r="AK60" s="200">
        <f t="shared" si="3"/>
        <v>2989.8921570000002</v>
      </c>
      <c r="AM60" s="200">
        <v>2989.8921570000002</v>
      </c>
      <c r="AN60" s="200">
        <f t="shared" si="4"/>
        <v>0</v>
      </c>
    </row>
    <row r="61" spans="1:40" ht="15.75" customHeight="1" x14ac:dyDescent="0.25">
      <c r="A61" s="60"/>
      <c r="B61" s="61"/>
      <c r="C61" s="49"/>
      <c r="D61" s="30"/>
      <c r="E61" s="42"/>
      <c r="F61" s="62"/>
      <c r="G61" s="62"/>
      <c r="H61" s="56" t="s">
        <v>36</v>
      </c>
      <c r="I61" s="164">
        <f>5418.68*1.051*1.05</f>
        <v>5979.7843140000004</v>
      </c>
      <c r="J61" s="153">
        <f t="shared" si="1"/>
        <v>5979.7843140000004</v>
      </c>
      <c r="K61" s="147"/>
      <c r="L61" s="147"/>
      <c r="M61" s="147"/>
      <c r="N61" s="147">
        <f>I61*N60</f>
        <v>0</v>
      </c>
      <c r="O61" s="147">
        <f>I61*O60</f>
        <v>0</v>
      </c>
      <c r="P61" s="147">
        <f>I61*P60</f>
        <v>0</v>
      </c>
      <c r="Q61" s="147">
        <f>I61*Q60</f>
        <v>0</v>
      </c>
      <c r="R61" s="148">
        <f>$I61*R60</f>
        <v>0</v>
      </c>
      <c r="S61" s="148">
        <f t="shared" ref="S61:AA61" si="31">$I61*S60</f>
        <v>0</v>
      </c>
      <c r="T61" s="148">
        <f t="shared" si="31"/>
        <v>2989.8921570000002</v>
      </c>
      <c r="U61" s="148">
        <f t="shared" si="31"/>
        <v>0</v>
      </c>
      <c r="V61" s="148">
        <f t="shared" si="31"/>
        <v>0</v>
      </c>
      <c r="W61" s="148">
        <f t="shared" si="31"/>
        <v>0</v>
      </c>
      <c r="X61" s="148">
        <f t="shared" si="31"/>
        <v>0</v>
      </c>
      <c r="Y61" s="148">
        <f t="shared" si="31"/>
        <v>0</v>
      </c>
      <c r="Z61" s="148">
        <f t="shared" si="31"/>
        <v>0</v>
      </c>
      <c r="AA61" s="148">
        <f t="shared" si="31"/>
        <v>2989.8921570000002</v>
      </c>
      <c r="AB61" s="148"/>
      <c r="AC61" s="53"/>
      <c r="AE61" s="64">
        <v>0.23423000000002503</v>
      </c>
      <c r="AH61" s="21">
        <v>7126.4367700000003</v>
      </c>
      <c r="AI61" s="21">
        <f>I61</f>
        <v>5979.7843140000004</v>
      </c>
      <c r="AK61" s="200">
        <f t="shared" si="3"/>
        <v>0</v>
      </c>
      <c r="AM61" s="200">
        <v>0</v>
      </c>
      <c r="AN61" s="200">
        <f t="shared" si="4"/>
        <v>0</v>
      </c>
    </row>
    <row r="62" spans="1:40" ht="18.75" customHeight="1" x14ac:dyDescent="0.25">
      <c r="A62" s="34"/>
      <c r="B62" s="66" t="s">
        <v>77</v>
      </c>
      <c r="C62" s="42"/>
      <c r="D62" s="67"/>
      <c r="E62" s="42"/>
      <c r="F62" s="77"/>
      <c r="G62" s="56"/>
      <c r="H62" s="56"/>
      <c r="I62" s="78"/>
      <c r="J62" s="78">
        <f t="shared" si="1"/>
        <v>0</v>
      </c>
      <c r="K62" s="74"/>
      <c r="L62" s="74"/>
      <c r="M62" s="50"/>
      <c r="N62" s="50"/>
      <c r="O62" s="50"/>
      <c r="P62" s="50"/>
      <c r="Q62" s="50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3"/>
      <c r="AE62" s="64"/>
      <c r="AH62" s="21"/>
      <c r="AI62" s="21"/>
      <c r="AK62" s="200">
        <f t="shared" si="3"/>
        <v>0</v>
      </c>
      <c r="AM62" s="200">
        <v>0</v>
      </c>
      <c r="AN62" s="200">
        <f t="shared" si="4"/>
        <v>0</v>
      </c>
    </row>
    <row r="63" spans="1:40" ht="15.75" customHeight="1" x14ac:dyDescent="0.25">
      <c r="A63" s="79" t="s">
        <v>78</v>
      </c>
      <c r="B63" s="145" t="s">
        <v>80</v>
      </c>
      <c r="C63" s="38"/>
      <c r="D63" s="80"/>
      <c r="E63" s="38">
        <f t="shared" si="5"/>
        <v>20</v>
      </c>
      <c r="F63" s="81">
        <v>44114</v>
      </c>
      <c r="G63" s="81">
        <v>44134</v>
      </c>
      <c r="H63" s="56" t="s">
        <v>37</v>
      </c>
      <c r="I63" s="57">
        <f>SUM(K63:AC63)</f>
        <v>1</v>
      </c>
      <c r="J63" s="57">
        <f t="shared" si="1"/>
        <v>1</v>
      </c>
      <c r="K63" s="74"/>
      <c r="L63" s="74"/>
      <c r="M63" s="50"/>
      <c r="N63" s="50"/>
      <c r="O63" s="50"/>
      <c r="P63" s="50"/>
      <c r="Q63" s="50"/>
      <c r="R63" s="51"/>
      <c r="S63" s="51"/>
      <c r="T63" s="137">
        <v>0</v>
      </c>
      <c r="U63" s="137">
        <v>0</v>
      </c>
      <c r="V63" s="137">
        <v>0</v>
      </c>
      <c r="W63" s="137">
        <v>0</v>
      </c>
      <c r="X63" s="137">
        <v>0</v>
      </c>
      <c r="Y63" s="137">
        <v>0</v>
      </c>
      <c r="Z63" s="137">
        <v>0</v>
      </c>
      <c r="AA63" s="215">
        <v>1</v>
      </c>
      <c r="AB63" s="51"/>
      <c r="AC63" s="53"/>
      <c r="AE63" s="64"/>
      <c r="AH63" s="21"/>
      <c r="AI63" s="21"/>
      <c r="AK63" s="200">
        <f t="shared" si="3"/>
        <v>0</v>
      </c>
      <c r="AM63" s="200">
        <v>0</v>
      </c>
      <c r="AN63" s="200">
        <f t="shared" si="4"/>
        <v>0</v>
      </c>
    </row>
    <row r="64" spans="1:40" ht="15.75" customHeight="1" x14ac:dyDescent="0.25">
      <c r="A64" s="82"/>
      <c r="B64" s="83"/>
      <c r="C64" s="38"/>
      <c r="D64" s="80"/>
      <c r="E64" s="38"/>
      <c r="F64" s="84"/>
      <c r="G64" s="84"/>
      <c r="H64" s="56" t="s">
        <v>36</v>
      </c>
      <c r="I64" s="163">
        <f>334.99*1.051*1.05</f>
        <v>369.67821449999997</v>
      </c>
      <c r="J64" s="153">
        <f t="shared" si="1"/>
        <v>369.67821449999997</v>
      </c>
      <c r="K64" s="149"/>
      <c r="L64" s="149"/>
      <c r="M64" s="147"/>
      <c r="N64" s="147"/>
      <c r="O64" s="147"/>
      <c r="P64" s="147"/>
      <c r="Q64" s="147"/>
      <c r="R64" s="148"/>
      <c r="S64" s="148"/>
      <c r="T64" s="148">
        <f>$I64*T63</f>
        <v>0</v>
      </c>
      <c r="U64" s="148">
        <f t="shared" ref="U64:AA64" si="32">$I64*U63</f>
        <v>0</v>
      </c>
      <c r="V64" s="148">
        <f t="shared" si="32"/>
        <v>0</v>
      </c>
      <c r="W64" s="148">
        <f t="shared" si="32"/>
        <v>0</v>
      </c>
      <c r="X64" s="148">
        <f t="shared" si="32"/>
        <v>0</v>
      </c>
      <c r="Y64" s="148">
        <f t="shared" si="32"/>
        <v>0</v>
      </c>
      <c r="Z64" s="148">
        <f t="shared" si="32"/>
        <v>0</v>
      </c>
      <c r="AA64" s="148">
        <f t="shared" si="32"/>
        <v>369.67821449999997</v>
      </c>
      <c r="AB64" s="148"/>
      <c r="AC64" s="53"/>
      <c r="AE64" s="64"/>
      <c r="AH64" s="21"/>
      <c r="AI64" s="21"/>
      <c r="AK64" s="200">
        <f t="shared" si="3"/>
        <v>0</v>
      </c>
      <c r="AM64" s="200">
        <v>0</v>
      </c>
      <c r="AN64" s="200">
        <f t="shared" si="4"/>
        <v>0</v>
      </c>
    </row>
    <row r="65" spans="1:40" s="18" customFormat="1" ht="15.75" customHeight="1" x14ac:dyDescent="0.25">
      <c r="A65" s="79" t="s">
        <v>79</v>
      </c>
      <c r="B65" s="416" t="s">
        <v>81</v>
      </c>
      <c r="C65" s="42"/>
      <c r="D65" s="67"/>
      <c r="E65" s="42"/>
      <c r="F65" s="55">
        <v>44105</v>
      </c>
      <c r="G65" s="68">
        <v>44134</v>
      </c>
      <c r="H65" s="56" t="s">
        <v>37</v>
      </c>
      <c r="I65" s="57">
        <f>SUM(K65:AC65)</f>
        <v>1</v>
      </c>
      <c r="J65" s="57">
        <f t="shared" si="1"/>
        <v>1</v>
      </c>
      <c r="K65" s="50"/>
      <c r="L65" s="50"/>
      <c r="M65" s="50"/>
      <c r="N65" s="50"/>
      <c r="O65" s="50"/>
      <c r="P65" s="58"/>
      <c r="Q65" s="58"/>
      <c r="R65" s="59"/>
      <c r="S65" s="137">
        <v>0</v>
      </c>
      <c r="T65" s="137">
        <v>0</v>
      </c>
      <c r="U65" s="137">
        <v>0</v>
      </c>
      <c r="V65" s="137">
        <v>0</v>
      </c>
      <c r="W65" s="137">
        <v>0</v>
      </c>
      <c r="X65" s="137">
        <v>0</v>
      </c>
      <c r="Y65" s="137">
        <v>0</v>
      </c>
      <c r="Z65" s="137">
        <v>0</v>
      </c>
      <c r="AA65" s="215">
        <v>1</v>
      </c>
      <c r="AB65" s="59"/>
      <c r="AC65" s="69"/>
      <c r="AE65" s="64"/>
      <c r="AH65" s="21"/>
      <c r="AI65" s="21"/>
      <c r="AK65" s="200">
        <f t="shared" si="3"/>
        <v>0</v>
      </c>
      <c r="AM65" s="200">
        <v>0</v>
      </c>
      <c r="AN65" s="200">
        <f t="shared" si="4"/>
        <v>0</v>
      </c>
    </row>
    <row r="66" spans="1:40" ht="15.75" customHeight="1" x14ac:dyDescent="0.25">
      <c r="A66" s="85"/>
      <c r="B66" s="61"/>
      <c r="C66" s="42"/>
      <c r="D66" s="42"/>
      <c r="E66" s="38">
        <f>DATEDIF(F65,G65,"d")</f>
        <v>29</v>
      </c>
      <c r="F66" s="62"/>
      <c r="G66" s="62"/>
      <c r="H66" s="56" t="s">
        <v>36</v>
      </c>
      <c r="I66" s="163">
        <f>768.31*1.051*1.05</f>
        <v>847.86850049999998</v>
      </c>
      <c r="J66" s="153">
        <f t="shared" si="1"/>
        <v>847.86850049999998</v>
      </c>
      <c r="K66" s="149"/>
      <c r="L66" s="149"/>
      <c r="M66" s="147"/>
      <c r="N66" s="147"/>
      <c r="O66" s="147"/>
      <c r="P66" s="151"/>
      <c r="Q66" s="151"/>
      <c r="R66" s="150"/>
      <c r="S66" s="150">
        <f>$I66*S65</f>
        <v>0</v>
      </c>
      <c r="T66" s="150">
        <f t="shared" ref="T66:AA66" si="33">$I66*T65</f>
        <v>0</v>
      </c>
      <c r="U66" s="150">
        <f t="shared" si="33"/>
        <v>0</v>
      </c>
      <c r="V66" s="150">
        <f t="shared" si="33"/>
        <v>0</v>
      </c>
      <c r="W66" s="150">
        <f t="shared" si="33"/>
        <v>0</v>
      </c>
      <c r="X66" s="150">
        <f t="shared" si="33"/>
        <v>0</v>
      </c>
      <c r="Y66" s="150">
        <f t="shared" si="33"/>
        <v>0</v>
      </c>
      <c r="Z66" s="150">
        <f t="shared" si="33"/>
        <v>0</v>
      </c>
      <c r="AA66" s="150">
        <f t="shared" si="33"/>
        <v>847.86850049999998</v>
      </c>
      <c r="AB66" s="150"/>
      <c r="AC66" s="53"/>
      <c r="AE66" s="64">
        <v>-14231.1149999999</v>
      </c>
      <c r="AH66" s="21">
        <f>379546.72</f>
        <v>379546.72</v>
      </c>
      <c r="AI66" s="21">
        <f>I66</f>
        <v>847.86850049999998</v>
      </c>
      <c r="AJ66" s="21"/>
      <c r="AK66" s="200">
        <f t="shared" si="3"/>
        <v>0</v>
      </c>
      <c r="AM66" s="200">
        <v>0</v>
      </c>
      <c r="AN66" s="200">
        <f t="shared" si="4"/>
        <v>0</v>
      </c>
    </row>
    <row r="67" spans="1:40" s="18" customFormat="1" ht="22.5" customHeight="1" x14ac:dyDescent="0.25">
      <c r="A67" s="79" t="s">
        <v>98</v>
      </c>
      <c r="B67" s="550" t="s">
        <v>101</v>
      </c>
      <c r="C67" s="42"/>
      <c r="D67" s="67"/>
      <c r="E67" s="42"/>
      <c r="F67" s="55">
        <v>44105</v>
      </c>
      <c r="G67" s="68">
        <v>44134</v>
      </c>
      <c r="H67" s="56" t="s">
        <v>37</v>
      </c>
      <c r="I67" s="57">
        <f>SUM(K67:AC67)</f>
        <v>1</v>
      </c>
      <c r="J67" s="57">
        <f t="shared" si="1"/>
        <v>1</v>
      </c>
      <c r="K67" s="74"/>
      <c r="L67" s="50"/>
      <c r="M67" s="50"/>
      <c r="N67" s="50"/>
      <c r="O67" s="50"/>
      <c r="P67" s="58"/>
      <c r="Q67" s="58"/>
      <c r="R67" s="59"/>
      <c r="S67" s="137">
        <v>0</v>
      </c>
      <c r="T67" s="137">
        <v>0</v>
      </c>
      <c r="U67" s="137">
        <v>0</v>
      </c>
      <c r="V67" s="137">
        <v>0</v>
      </c>
      <c r="W67" s="137">
        <v>0</v>
      </c>
      <c r="X67" s="137">
        <v>0</v>
      </c>
      <c r="Y67" s="137">
        <v>0</v>
      </c>
      <c r="Z67" s="137">
        <v>0</v>
      </c>
      <c r="AA67" s="215">
        <v>1</v>
      </c>
      <c r="AB67" s="51"/>
      <c r="AC67" s="69"/>
      <c r="AE67" s="64"/>
      <c r="AH67" s="21"/>
      <c r="AI67" s="21"/>
      <c r="AK67" s="200">
        <f t="shared" si="3"/>
        <v>0</v>
      </c>
      <c r="AM67" s="200">
        <v>0</v>
      </c>
      <c r="AN67" s="200">
        <f t="shared" si="4"/>
        <v>0</v>
      </c>
    </row>
    <row r="68" spans="1:40" ht="20.25" customHeight="1" x14ac:dyDescent="0.25">
      <c r="A68" s="85"/>
      <c r="B68" s="551"/>
      <c r="C68" s="42"/>
      <c r="D68" s="42"/>
      <c r="E68" s="38">
        <f>DATEDIF(F67,G67,"d")</f>
        <v>29</v>
      </c>
      <c r="F68" s="62"/>
      <c r="G68" s="62"/>
      <c r="H68" s="56" t="s">
        <v>36</v>
      </c>
      <c r="I68" s="252">
        <f>651.82972*1.051*1.05</f>
        <v>719.32668750599987</v>
      </c>
      <c r="J68" s="153">
        <f t="shared" si="1"/>
        <v>719.32668750599987</v>
      </c>
      <c r="K68" s="149"/>
      <c r="L68" s="149"/>
      <c r="M68" s="147"/>
      <c r="N68" s="147"/>
      <c r="O68" s="147"/>
      <c r="P68" s="151"/>
      <c r="Q68" s="151"/>
      <c r="R68" s="150"/>
      <c r="S68" s="150">
        <f>$I68*S67</f>
        <v>0</v>
      </c>
      <c r="T68" s="150">
        <f t="shared" ref="T68:AA68" si="34">$I68*T67</f>
        <v>0</v>
      </c>
      <c r="U68" s="150">
        <f t="shared" si="34"/>
        <v>0</v>
      </c>
      <c r="V68" s="150">
        <f t="shared" si="34"/>
        <v>0</v>
      </c>
      <c r="W68" s="150">
        <f t="shared" si="34"/>
        <v>0</v>
      </c>
      <c r="X68" s="150">
        <f t="shared" si="34"/>
        <v>0</v>
      </c>
      <c r="Y68" s="150">
        <f t="shared" si="34"/>
        <v>0</v>
      </c>
      <c r="Z68" s="150">
        <f t="shared" si="34"/>
        <v>0</v>
      </c>
      <c r="AA68" s="150">
        <f t="shared" si="34"/>
        <v>719.32668750599987</v>
      </c>
      <c r="AB68" s="148"/>
      <c r="AC68" s="53"/>
      <c r="AE68" s="64">
        <v>4649.6780199999994</v>
      </c>
      <c r="AH68" s="21">
        <v>11922.421979999999</v>
      </c>
      <c r="AI68" s="21">
        <f t="shared" ref="AI68:AI82" si="35">I68</f>
        <v>719.32668750599987</v>
      </c>
      <c r="AJ68" s="21"/>
      <c r="AK68" s="200">
        <f t="shared" si="3"/>
        <v>0</v>
      </c>
      <c r="AM68" s="200">
        <v>0</v>
      </c>
      <c r="AN68" s="200">
        <f t="shared" si="4"/>
        <v>0</v>
      </c>
    </row>
    <row r="69" spans="1:40" ht="56.25" hidden="1" customHeight="1" x14ac:dyDescent="0.25">
      <c r="A69" s="87"/>
      <c r="B69" s="66" t="s">
        <v>40</v>
      </c>
      <c r="C69" s="42"/>
      <c r="D69" s="42"/>
      <c r="E69" s="38">
        <f t="shared" ref="E69:E76" si="36">DATEDIF(F69,G69,"d")</f>
        <v>0</v>
      </c>
      <c r="F69" s="77"/>
      <c r="G69" s="56"/>
      <c r="H69" s="56" t="s">
        <v>37</v>
      </c>
      <c r="I69" s="78" t="e">
        <f>K69+L69+M69+N69+O69+P69+Q69+R69+S69+T69+U69+V69+#REF!+#REF!+#REF!+#REF!+#REF!+#REF!+#REF!</f>
        <v>#REF!</v>
      </c>
      <c r="J69" s="78">
        <f t="shared" ref="J69:J82" si="37">SUM(K69:V69)</f>
        <v>0</v>
      </c>
      <c r="K69" s="74"/>
      <c r="L69" s="50"/>
      <c r="M69" s="50"/>
      <c r="N69" s="50"/>
      <c r="O69" s="50"/>
      <c r="P69" s="50"/>
      <c r="Q69" s="50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3"/>
      <c r="AE69" s="64">
        <v>0</v>
      </c>
      <c r="AH69" s="21"/>
      <c r="AI69" s="21" t="e">
        <f t="shared" si="35"/>
        <v>#REF!</v>
      </c>
      <c r="AK69" s="200">
        <f t="shared" si="3"/>
        <v>0</v>
      </c>
      <c r="AM69" s="200">
        <v>0</v>
      </c>
      <c r="AN69" s="200">
        <f t="shared" si="4"/>
        <v>0</v>
      </c>
    </row>
    <row r="70" spans="1:40" ht="18.75" hidden="1" customHeight="1" x14ac:dyDescent="0.25">
      <c r="A70" s="87"/>
      <c r="B70" s="66" t="s">
        <v>41</v>
      </c>
      <c r="C70" s="42"/>
      <c r="D70" s="42"/>
      <c r="E70" s="38">
        <f t="shared" si="36"/>
        <v>0</v>
      </c>
      <c r="F70" s="77"/>
      <c r="G70" s="56"/>
      <c r="H70" s="56" t="s">
        <v>36</v>
      </c>
      <c r="I70" s="78" t="e">
        <f>K70+L70+M70+N70+O70+P70+Q70+R70+S70+T70+U70+V70+#REF!+#REF!+#REF!+#REF!+#REF!+#REF!+#REF!</f>
        <v>#REF!</v>
      </c>
      <c r="J70" s="78">
        <f t="shared" si="37"/>
        <v>0</v>
      </c>
      <c r="K70" s="74"/>
      <c r="L70" s="50"/>
      <c r="M70" s="50"/>
      <c r="N70" s="50"/>
      <c r="O70" s="50"/>
      <c r="P70" s="50"/>
      <c r="Q70" s="50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3"/>
      <c r="AE70" s="64">
        <v>0</v>
      </c>
      <c r="AH70" s="21"/>
      <c r="AI70" s="21" t="e">
        <f t="shared" si="35"/>
        <v>#REF!</v>
      </c>
      <c r="AK70" s="200">
        <f t="shared" si="3"/>
        <v>0</v>
      </c>
      <c r="AM70" s="200">
        <v>0</v>
      </c>
      <c r="AN70" s="200">
        <f t="shared" si="4"/>
        <v>0</v>
      </c>
    </row>
    <row r="71" spans="1:40" ht="18.75" hidden="1" customHeight="1" x14ac:dyDescent="0.25">
      <c r="A71" s="87"/>
      <c r="B71" s="66" t="s">
        <v>42</v>
      </c>
      <c r="C71" s="38"/>
      <c r="D71" s="42">
        <f>19+27</f>
        <v>46</v>
      </c>
      <c r="E71" s="38">
        <f t="shared" si="36"/>
        <v>0</v>
      </c>
      <c r="F71" s="88"/>
      <c r="G71" s="89"/>
      <c r="H71" s="56" t="s">
        <v>37</v>
      </c>
      <c r="I71" s="78" t="e">
        <f>K71+L71+M71+N71+O71+P71+Q71+R71+S71+T71+U71+V71+#REF!+#REF!+#REF!+#REF!+#REF!+#REF!+#REF!</f>
        <v>#REF!</v>
      </c>
      <c r="J71" s="78">
        <f t="shared" si="37"/>
        <v>0</v>
      </c>
      <c r="K71" s="74"/>
      <c r="L71" s="50"/>
      <c r="M71" s="50"/>
      <c r="N71" s="50"/>
      <c r="O71" s="50"/>
      <c r="P71" s="50"/>
      <c r="Q71" s="50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3"/>
      <c r="AE71" s="64">
        <v>0</v>
      </c>
      <c r="AH71" s="21"/>
      <c r="AI71" s="21" t="e">
        <f t="shared" si="35"/>
        <v>#REF!</v>
      </c>
      <c r="AK71" s="200">
        <f t="shared" si="3"/>
        <v>0</v>
      </c>
      <c r="AM71" s="200">
        <v>0</v>
      </c>
      <c r="AN71" s="200">
        <f t="shared" si="4"/>
        <v>0</v>
      </c>
    </row>
    <row r="72" spans="1:40" ht="18.75" hidden="1" customHeight="1" x14ac:dyDescent="0.25">
      <c r="A72" s="87"/>
      <c r="B72" s="66" t="s">
        <v>43</v>
      </c>
      <c r="C72" s="38"/>
      <c r="D72" s="42"/>
      <c r="E72" s="38">
        <f t="shared" si="36"/>
        <v>0</v>
      </c>
      <c r="F72" s="88"/>
      <c r="G72" s="89"/>
      <c r="H72" s="56" t="s">
        <v>36</v>
      </c>
      <c r="I72" s="78" t="e">
        <f>K72+L72+M72+N72+O72+P72+Q72+R72+S72+T72+U72+V72+#REF!+#REF!+#REF!+#REF!+#REF!+#REF!+#REF!</f>
        <v>#REF!</v>
      </c>
      <c r="J72" s="78">
        <f t="shared" si="37"/>
        <v>0</v>
      </c>
      <c r="K72" s="74"/>
      <c r="L72" s="50"/>
      <c r="M72" s="50"/>
      <c r="N72" s="50"/>
      <c r="O72" s="50"/>
      <c r="P72" s="50"/>
      <c r="Q72" s="50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3"/>
      <c r="AE72" s="64">
        <v>0</v>
      </c>
      <c r="AH72" s="21"/>
      <c r="AI72" s="21" t="e">
        <f t="shared" si="35"/>
        <v>#REF!</v>
      </c>
      <c r="AK72" s="200">
        <f t="shared" si="3"/>
        <v>0</v>
      </c>
      <c r="AM72" s="200">
        <v>0</v>
      </c>
      <c r="AN72" s="200">
        <f t="shared" si="4"/>
        <v>0</v>
      </c>
    </row>
    <row r="73" spans="1:40" ht="93.75" hidden="1" customHeight="1" x14ac:dyDescent="0.25">
      <c r="A73" s="87"/>
      <c r="B73" s="90" t="s">
        <v>44</v>
      </c>
      <c r="C73" s="38"/>
      <c r="D73" s="42"/>
      <c r="E73" s="38">
        <f t="shared" si="36"/>
        <v>0</v>
      </c>
      <c r="F73" s="77"/>
      <c r="G73" s="56"/>
      <c r="H73" s="56" t="s">
        <v>37</v>
      </c>
      <c r="I73" s="78" t="e">
        <f>K73+L73+M73+N73+O73+P73+Q73+R73+S73+T73+U73+V73+#REF!+#REF!+#REF!+#REF!+#REF!+#REF!+#REF!</f>
        <v>#REF!</v>
      </c>
      <c r="J73" s="78">
        <f t="shared" si="37"/>
        <v>0</v>
      </c>
      <c r="K73" s="74"/>
      <c r="L73" s="50"/>
      <c r="M73" s="50"/>
      <c r="N73" s="50"/>
      <c r="O73" s="50"/>
      <c r="P73" s="50"/>
      <c r="Q73" s="50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3"/>
      <c r="AE73" s="64">
        <v>0</v>
      </c>
      <c r="AH73" s="21"/>
      <c r="AI73" s="21" t="e">
        <f t="shared" si="35"/>
        <v>#REF!</v>
      </c>
      <c r="AK73" s="200">
        <f t="shared" si="3"/>
        <v>0</v>
      </c>
      <c r="AM73" s="200">
        <v>0</v>
      </c>
      <c r="AN73" s="200">
        <f t="shared" si="4"/>
        <v>0</v>
      </c>
    </row>
    <row r="74" spans="1:40" ht="112.5" hidden="1" customHeight="1" x14ac:dyDescent="0.25">
      <c r="A74" s="87"/>
      <c r="B74" s="90" t="s">
        <v>45</v>
      </c>
      <c r="C74" s="38"/>
      <c r="D74" s="42"/>
      <c r="E74" s="38">
        <f t="shared" si="36"/>
        <v>0</v>
      </c>
      <c r="F74" s="77"/>
      <c r="G74" s="56"/>
      <c r="H74" s="56" t="s">
        <v>36</v>
      </c>
      <c r="I74" s="78" t="e">
        <f>K74+L74+M74+N74+O74+P74+Q74+R74+S74+T74+U74+V74+#REF!+#REF!+#REF!+#REF!+#REF!+#REF!+#REF!</f>
        <v>#REF!</v>
      </c>
      <c r="J74" s="78">
        <f t="shared" si="37"/>
        <v>0</v>
      </c>
      <c r="K74" s="74"/>
      <c r="L74" s="50"/>
      <c r="M74" s="50"/>
      <c r="N74" s="50"/>
      <c r="O74" s="50"/>
      <c r="P74" s="50"/>
      <c r="Q74" s="50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3"/>
      <c r="AE74" s="64">
        <v>0</v>
      </c>
      <c r="AH74" s="21"/>
      <c r="AI74" s="21" t="e">
        <f t="shared" si="35"/>
        <v>#REF!</v>
      </c>
      <c r="AK74" s="200">
        <f t="shared" si="3"/>
        <v>0</v>
      </c>
      <c r="AM74" s="200">
        <v>0</v>
      </c>
      <c r="AN74" s="200">
        <f t="shared" si="4"/>
        <v>0</v>
      </c>
    </row>
    <row r="75" spans="1:40" ht="18.75" hidden="1" customHeight="1" x14ac:dyDescent="0.25">
      <c r="A75" s="87"/>
      <c r="B75" s="91" t="s">
        <v>46</v>
      </c>
      <c r="C75" s="38"/>
      <c r="D75" s="42"/>
      <c r="E75" s="38">
        <f t="shared" si="36"/>
        <v>0</v>
      </c>
      <c r="F75" s="77"/>
      <c r="G75" s="56"/>
      <c r="H75" s="56" t="s">
        <v>37</v>
      </c>
      <c r="I75" s="78" t="e">
        <f>K75+L75+M75+N75+O75+P75+Q75+R75+S75+T75+U75+V75+#REF!+#REF!+#REF!+#REF!+#REF!+#REF!+#REF!</f>
        <v>#REF!</v>
      </c>
      <c r="J75" s="78">
        <f t="shared" si="37"/>
        <v>0</v>
      </c>
      <c r="K75" s="74"/>
      <c r="L75" s="50"/>
      <c r="M75" s="50"/>
      <c r="N75" s="50"/>
      <c r="O75" s="50"/>
      <c r="P75" s="50"/>
      <c r="Q75" s="50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3"/>
      <c r="AE75" s="64"/>
      <c r="AH75" s="21"/>
      <c r="AI75" s="21" t="e">
        <f t="shared" si="35"/>
        <v>#REF!</v>
      </c>
      <c r="AK75" s="200">
        <f t="shared" si="3"/>
        <v>0</v>
      </c>
      <c r="AM75" s="200">
        <v>0</v>
      </c>
      <c r="AN75" s="200">
        <f t="shared" si="4"/>
        <v>0</v>
      </c>
    </row>
    <row r="76" spans="1:40" ht="18.75" hidden="1" customHeight="1" x14ac:dyDescent="0.25">
      <c r="A76" s="87"/>
      <c r="B76" s="90" t="s">
        <v>47</v>
      </c>
      <c r="C76" s="38"/>
      <c r="D76" s="42"/>
      <c r="E76" s="38">
        <f t="shared" si="36"/>
        <v>0</v>
      </c>
      <c r="F76" s="77"/>
      <c r="G76" s="56"/>
      <c r="H76" s="56" t="s">
        <v>36</v>
      </c>
      <c r="I76" s="78" t="e">
        <f>K76+L76+M76+N76+O76+P76+Q76+R76+S76+T76+U76+V76+#REF!+#REF!+#REF!+#REF!+#REF!+#REF!+#REF!</f>
        <v>#REF!</v>
      </c>
      <c r="J76" s="78">
        <f t="shared" si="37"/>
        <v>0</v>
      </c>
      <c r="K76" s="74"/>
      <c r="L76" s="50"/>
      <c r="M76" s="50"/>
      <c r="N76" s="50"/>
      <c r="O76" s="50"/>
      <c r="P76" s="50"/>
      <c r="Q76" s="50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3"/>
      <c r="AE76" s="64"/>
      <c r="AH76" s="21"/>
      <c r="AI76" s="21" t="e">
        <f t="shared" si="35"/>
        <v>#REF!</v>
      </c>
      <c r="AK76" s="200">
        <f t="shared" si="3"/>
        <v>0</v>
      </c>
      <c r="AM76" s="200">
        <v>0</v>
      </c>
      <c r="AN76" s="200">
        <f t="shared" si="4"/>
        <v>0</v>
      </c>
    </row>
    <row r="77" spans="1:40" ht="15.75" hidden="1" customHeight="1" x14ac:dyDescent="0.25">
      <c r="A77" s="92" t="s">
        <v>48</v>
      </c>
      <c r="B77" s="93" t="s">
        <v>49</v>
      </c>
      <c r="C77" s="38"/>
      <c r="D77" s="42"/>
      <c r="E77" s="38"/>
      <c r="F77" s="55"/>
      <c r="G77" s="68"/>
      <c r="H77" s="56" t="s">
        <v>37</v>
      </c>
      <c r="I77" s="57">
        <f>SUM(K77:AC77)</f>
        <v>0</v>
      </c>
      <c r="J77" s="57">
        <f t="shared" si="37"/>
        <v>0</v>
      </c>
      <c r="K77" s="74"/>
      <c r="L77" s="50"/>
      <c r="M77" s="50"/>
      <c r="N77" s="50"/>
      <c r="O77" s="50"/>
      <c r="P77" s="50"/>
      <c r="Q77" s="50"/>
      <c r="R77" s="59"/>
      <c r="S77" s="59"/>
      <c r="T77" s="51"/>
      <c r="U77" s="51"/>
      <c r="V77" s="51"/>
      <c r="W77" s="51"/>
      <c r="X77" s="51"/>
      <c r="Y77" s="51"/>
      <c r="Z77" s="51"/>
      <c r="AA77" s="51"/>
      <c r="AB77" s="51"/>
      <c r="AC77" s="53"/>
      <c r="AE77" s="64"/>
      <c r="AH77" s="21"/>
      <c r="AI77" s="21">
        <f t="shared" si="35"/>
        <v>0</v>
      </c>
      <c r="AK77" s="200">
        <f t="shared" si="3"/>
        <v>0</v>
      </c>
      <c r="AM77" s="200">
        <v>0</v>
      </c>
      <c r="AN77" s="200">
        <f t="shared" si="4"/>
        <v>0</v>
      </c>
    </row>
    <row r="78" spans="1:40" ht="15.75" hidden="1" customHeight="1" x14ac:dyDescent="0.25">
      <c r="A78" s="94"/>
      <c r="B78" s="95"/>
      <c r="C78" s="38"/>
      <c r="D78" s="42"/>
      <c r="E78" s="38">
        <f>DATEDIF(F77,G77,"d")</f>
        <v>0</v>
      </c>
      <c r="F78" s="72"/>
      <c r="G78" s="73"/>
      <c r="H78" s="56" t="s">
        <v>36</v>
      </c>
      <c r="I78" s="63">
        <f>SUM(K78:AC78)</f>
        <v>0</v>
      </c>
      <c r="J78" s="63">
        <f t="shared" si="37"/>
        <v>0</v>
      </c>
      <c r="K78" s="74"/>
      <c r="L78" s="50"/>
      <c r="M78" s="50"/>
      <c r="N78" s="50"/>
      <c r="O78" s="50"/>
      <c r="P78" s="50"/>
      <c r="Q78" s="50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3"/>
      <c r="AE78" s="64">
        <v>2</v>
      </c>
      <c r="AH78" s="21"/>
      <c r="AI78" s="21">
        <f t="shared" si="35"/>
        <v>0</v>
      </c>
      <c r="AK78" s="200">
        <f t="shared" si="3"/>
        <v>0</v>
      </c>
      <c r="AM78" s="200">
        <v>0</v>
      </c>
      <c r="AN78" s="200">
        <f t="shared" si="4"/>
        <v>0</v>
      </c>
    </row>
    <row r="79" spans="1:40" ht="18.75" hidden="1" customHeight="1" x14ac:dyDescent="0.25">
      <c r="A79" s="87"/>
      <c r="B79" s="96" t="s">
        <v>50</v>
      </c>
      <c r="C79" s="38"/>
      <c r="D79" s="42"/>
      <c r="E79" s="38">
        <v>1</v>
      </c>
      <c r="F79" s="88"/>
      <c r="G79" s="89"/>
      <c r="H79" s="56" t="s">
        <v>37</v>
      </c>
      <c r="I79" s="78" t="e">
        <f>K79+L79+M79+N79+O79+P79+Q79+R79+S79+T79+U79+V79+#REF!+#REF!+#REF!+#REF!+#REF!+#REF!+#REF!</f>
        <v>#REF!</v>
      </c>
      <c r="J79" s="78">
        <f t="shared" si="37"/>
        <v>0</v>
      </c>
      <c r="K79" s="74"/>
      <c r="L79" s="50"/>
      <c r="M79" s="50"/>
      <c r="N79" s="50"/>
      <c r="O79" s="50"/>
      <c r="P79" s="50"/>
      <c r="Q79" s="50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3"/>
      <c r="AE79" s="64"/>
      <c r="AH79" s="21"/>
      <c r="AI79" s="21" t="e">
        <f t="shared" si="35"/>
        <v>#REF!</v>
      </c>
      <c r="AK79" s="200">
        <f t="shared" si="3"/>
        <v>0</v>
      </c>
      <c r="AM79" s="200">
        <v>0</v>
      </c>
      <c r="AN79" s="200">
        <f t="shared" si="4"/>
        <v>0</v>
      </c>
    </row>
    <row r="80" spans="1:40" ht="18.75" hidden="1" customHeight="1" x14ac:dyDescent="0.25">
      <c r="A80" s="87"/>
      <c r="B80" s="90" t="s">
        <v>51</v>
      </c>
      <c r="C80" s="38"/>
      <c r="D80" s="42"/>
      <c r="E80" s="38">
        <v>1</v>
      </c>
      <c r="F80" s="77"/>
      <c r="G80" s="77"/>
      <c r="H80" s="56" t="s">
        <v>36</v>
      </c>
      <c r="I80" s="78" t="e">
        <f>K80+L80+M80+N80+O80+P80+Q80+R80+S80+T80+U80+V80+#REF!+#REF!+#REF!+#REF!+#REF!+#REF!+#REF!</f>
        <v>#REF!</v>
      </c>
      <c r="J80" s="78">
        <f t="shared" si="37"/>
        <v>0</v>
      </c>
      <c r="K80" s="74"/>
      <c r="L80" s="50"/>
      <c r="M80" s="50"/>
      <c r="N80" s="50"/>
      <c r="O80" s="50"/>
      <c r="P80" s="50"/>
      <c r="Q80" s="50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3"/>
      <c r="AE80" s="64"/>
      <c r="AH80" s="21"/>
      <c r="AI80" s="21" t="e">
        <f t="shared" si="35"/>
        <v>#REF!</v>
      </c>
      <c r="AK80" s="200">
        <f t="shared" si="3"/>
        <v>0</v>
      </c>
      <c r="AM80" s="200">
        <v>0</v>
      </c>
      <c r="AN80" s="200">
        <f t="shared" si="4"/>
        <v>0</v>
      </c>
    </row>
    <row r="81" spans="1:40" ht="56.25" hidden="1" customHeight="1" x14ac:dyDescent="0.25">
      <c r="A81" s="87"/>
      <c r="B81" s="90" t="s">
        <v>52</v>
      </c>
      <c r="C81" s="38"/>
      <c r="D81" s="42"/>
      <c r="E81" s="38">
        <v>1</v>
      </c>
      <c r="F81" s="77"/>
      <c r="G81" s="77"/>
      <c r="H81" s="56" t="s">
        <v>37</v>
      </c>
      <c r="I81" s="78" t="e">
        <f>K81+L81+M81+N81+O81+P81+Q81+R81+S81+T81+U81+V81+#REF!+#REF!+#REF!+#REF!+#REF!+#REF!+#REF!</f>
        <v>#REF!</v>
      </c>
      <c r="J81" s="78">
        <f t="shared" si="37"/>
        <v>0</v>
      </c>
      <c r="K81" s="74"/>
      <c r="L81" s="50"/>
      <c r="M81" s="50"/>
      <c r="N81" s="50"/>
      <c r="O81" s="50"/>
      <c r="P81" s="50"/>
      <c r="Q81" s="50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3"/>
      <c r="AE81" s="64">
        <v>0</v>
      </c>
      <c r="AH81" s="21"/>
      <c r="AI81" s="21" t="e">
        <f t="shared" si="35"/>
        <v>#REF!</v>
      </c>
      <c r="AK81" s="200">
        <f t="shared" si="3"/>
        <v>0</v>
      </c>
      <c r="AM81" s="200">
        <v>0</v>
      </c>
      <c r="AN81" s="200">
        <f t="shared" si="4"/>
        <v>0</v>
      </c>
    </row>
    <row r="82" spans="1:40" ht="56.25" hidden="1" customHeight="1" x14ac:dyDescent="0.25">
      <c r="A82" s="87"/>
      <c r="B82" s="90" t="s">
        <v>53</v>
      </c>
      <c r="C82" s="38"/>
      <c r="D82" s="42"/>
      <c r="E82" s="38">
        <v>1</v>
      </c>
      <c r="F82" s="77"/>
      <c r="G82" s="77"/>
      <c r="H82" s="56" t="s">
        <v>36</v>
      </c>
      <c r="I82" s="78" t="e">
        <f>K82+L82+M82+N82+O82+P82+Q82+R82+S82+T82+U82+V82+#REF!+#REF!+#REF!+#REF!+#REF!+#REF!+#REF!</f>
        <v>#REF!</v>
      </c>
      <c r="J82" s="78">
        <f t="shared" si="37"/>
        <v>0</v>
      </c>
      <c r="K82" s="74"/>
      <c r="L82" s="50"/>
      <c r="M82" s="50"/>
      <c r="N82" s="50"/>
      <c r="O82" s="50"/>
      <c r="P82" s="50"/>
      <c r="Q82" s="50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3"/>
      <c r="AE82" s="64">
        <v>0</v>
      </c>
      <c r="AH82" s="21"/>
      <c r="AI82" s="21" t="e">
        <f t="shared" si="35"/>
        <v>#REF!</v>
      </c>
      <c r="AK82" s="200">
        <f t="shared" si="3"/>
        <v>0</v>
      </c>
      <c r="AM82" s="200">
        <v>0</v>
      </c>
      <c r="AN82" s="200">
        <f t="shared" si="4"/>
        <v>0</v>
      </c>
    </row>
    <row r="83" spans="1:40" s="18" customFormat="1" ht="21" customHeight="1" x14ac:dyDescent="0.25">
      <c r="A83" s="79" t="s">
        <v>99</v>
      </c>
      <c r="B83" s="550" t="s">
        <v>102</v>
      </c>
      <c r="C83" s="42"/>
      <c r="D83" s="67"/>
      <c r="E83" s="42"/>
      <c r="F83" s="55">
        <v>44105</v>
      </c>
      <c r="G83" s="68">
        <v>44134</v>
      </c>
      <c r="H83" s="56" t="s">
        <v>37</v>
      </c>
      <c r="I83" s="57">
        <f>SUM(K83:AC83)</f>
        <v>1</v>
      </c>
      <c r="J83" s="57">
        <f t="shared" ref="J83:J94" si="38">SUM(K83:AB83)</f>
        <v>1</v>
      </c>
      <c r="K83" s="74"/>
      <c r="L83" s="50"/>
      <c r="M83" s="50"/>
      <c r="N83" s="50"/>
      <c r="O83" s="50"/>
      <c r="P83" s="58"/>
      <c r="Q83" s="58"/>
      <c r="R83" s="59"/>
      <c r="S83" s="137">
        <v>0</v>
      </c>
      <c r="T83" s="137">
        <v>0</v>
      </c>
      <c r="U83" s="137">
        <v>0</v>
      </c>
      <c r="V83" s="137">
        <v>0</v>
      </c>
      <c r="W83" s="137">
        <v>0</v>
      </c>
      <c r="X83" s="137">
        <v>0</v>
      </c>
      <c r="Y83" s="137">
        <v>0</v>
      </c>
      <c r="Z83" s="137">
        <v>0</v>
      </c>
      <c r="AA83" s="215">
        <v>1</v>
      </c>
      <c r="AB83" s="51"/>
      <c r="AC83" s="69"/>
      <c r="AE83" s="64"/>
      <c r="AH83" s="21"/>
      <c r="AI83" s="21"/>
      <c r="AK83" s="200">
        <f t="shared" si="3"/>
        <v>0</v>
      </c>
      <c r="AM83" s="200">
        <v>0</v>
      </c>
      <c r="AN83" s="200">
        <f t="shared" si="4"/>
        <v>0</v>
      </c>
    </row>
    <row r="84" spans="1:40" ht="23.25" customHeight="1" x14ac:dyDescent="0.25">
      <c r="A84" s="85"/>
      <c r="B84" s="551"/>
      <c r="C84" s="42"/>
      <c r="D84" s="42"/>
      <c r="E84" s="38">
        <f>DATEDIF(F83,G83,"d")</f>
        <v>29</v>
      </c>
      <c r="F84" s="62"/>
      <c r="G84" s="62"/>
      <c r="H84" s="56" t="s">
        <v>36</v>
      </c>
      <c r="I84" s="253">
        <v>2004.1054774940765</v>
      </c>
      <c r="J84" s="153">
        <f t="shared" si="38"/>
        <v>2004.1054774940765</v>
      </c>
      <c r="K84" s="149"/>
      <c r="L84" s="149"/>
      <c r="M84" s="147"/>
      <c r="N84" s="147"/>
      <c r="O84" s="147"/>
      <c r="P84" s="151"/>
      <c r="Q84" s="151"/>
      <c r="R84" s="150"/>
      <c r="S84" s="150">
        <f>$I84*S83</f>
        <v>0</v>
      </c>
      <c r="T84" s="150">
        <f t="shared" ref="T84:AA84" si="39">$I84*T83</f>
        <v>0</v>
      </c>
      <c r="U84" s="150">
        <f t="shared" si="39"/>
        <v>0</v>
      </c>
      <c r="V84" s="150">
        <f t="shared" si="39"/>
        <v>0</v>
      </c>
      <c r="W84" s="150">
        <f t="shared" si="39"/>
        <v>0</v>
      </c>
      <c r="X84" s="150">
        <f t="shared" si="39"/>
        <v>0</v>
      </c>
      <c r="Y84" s="150">
        <f t="shared" si="39"/>
        <v>0</v>
      </c>
      <c r="Z84" s="150">
        <f t="shared" si="39"/>
        <v>0</v>
      </c>
      <c r="AA84" s="150">
        <f t="shared" si="39"/>
        <v>2004.1054774940765</v>
      </c>
      <c r="AB84" s="148"/>
      <c r="AC84" s="53"/>
      <c r="AE84" s="64">
        <v>4649.6780199999994</v>
      </c>
      <c r="AH84" s="21">
        <v>11922.421979999999</v>
      </c>
      <c r="AI84" s="21">
        <f>I84</f>
        <v>2004.1054774940765</v>
      </c>
      <c r="AJ84" s="21"/>
      <c r="AK84" s="200">
        <f t="shared" si="3"/>
        <v>0</v>
      </c>
      <c r="AM84" s="200">
        <v>0</v>
      </c>
      <c r="AN84" s="200">
        <f t="shared" si="4"/>
        <v>0</v>
      </c>
    </row>
    <row r="85" spans="1:40" s="18" customFormat="1" ht="18.75" customHeight="1" x14ac:dyDescent="0.25">
      <c r="A85" s="79" t="s">
        <v>100</v>
      </c>
      <c r="B85" s="550" t="s">
        <v>103</v>
      </c>
      <c r="C85" s="42"/>
      <c r="D85" s="67"/>
      <c r="E85" s="42"/>
      <c r="F85" s="55">
        <v>44105</v>
      </c>
      <c r="G85" s="68">
        <v>44134</v>
      </c>
      <c r="H85" s="56" t="s">
        <v>37</v>
      </c>
      <c r="I85" s="57">
        <f>SUM(K85:AC85)</f>
        <v>1</v>
      </c>
      <c r="J85" s="57">
        <f t="shared" si="38"/>
        <v>1</v>
      </c>
      <c r="K85" s="74"/>
      <c r="L85" s="50"/>
      <c r="M85" s="50"/>
      <c r="N85" s="50"/>
      <c r="O85" s="50"/>
      <c r="P85" s="58"/>
      <c r="Q85" s="58"/>
      <c r="R85" s="59"/>
      <c r="S85" s="137">
        <v>0</v>
      </c>
      <c r="T85" s="137">
        <v>0</v>
      </c>
      <c r="U85" s="137">
        <v>0</v>
      </c>
      <c r="V85" s="137">
        <v>0</v>
      </c>
      <c r="W85" s="137">
        <v>0</v>
      </c>
      <c r="X85" s="137">
        <v>0</v>
      </c>
      <c r="Y85" s="137">
        <v>0</v>
      </c>
      <c r="Z85" s="137">
        <v>0</v>
      </c>
      <c r="AA85" s="215">
        <v>1</v>
      </c>
      <c r="AB85" s="51"/>
      <c r="AC85" s="69"/>
      <c r="AE85" s="64"/>
      <c r="AH85" s="21"/>
      <c r="AI85" s="21"/>
      <c r="AK85" s="200">
        <f t="shared" si="3"/>
        <v>0</v>
      </c>
      <c r="AM85" s="200">
        <v>0</v>
      </c>
      <c r="AN85" s="200">
        <f t="shared" si="4"/>
        <v>0</v>
      </c>
    </row>
    <row r="86" spans="1:40" ht="18.75" customHeight="1" x14ac:dyDescent="0.25">
      <c r="A86" s="85"/>
      <c r="B86" s="551"/>
      <c r="C86" s="42"/>
      <c r="D86" s="42"/>
      <c r="E86" s="38">
        <f>DATEDIF(F85,G85,"d")</f>
        <v>29</v>
      </c>
      <c r="F86" s="62"/>
      <c r="G86" s="62"/>
      <c r="H86" s="56" t="s">
        <v>36</v>
      </c>
      <c r="I86" s="254">
        <v>0</v>
      </c>
      <c r="J86" s="153">
        <f t="shared" si="38"/>
        <v>0</v>
      </c>
      <c r="K86" s="149"/>
      <c r="L86" s="149"/>
      <c r="M86" s="147"/>
      <c r="N86" s="147"/>
      <c r="O86" s="147"/>
      <c r="P86" s="151"/>
      <c r="Q86" s="151"/>
      <c r="R86" s="150"/>
      <c r="S86" s="150">
        <f>$I86*S85</f>
        <v>0</v>
      </c>
      <c r="T86" s="150">
        <f t="shared" ref="T86:AA86" si="40">$I86*T85</f>
        <v>0</v>
      </c>
      <c r="U86" s="150">
        <f t="shared" si="40"/>
        <v>0</v>
      </c>
      <c r="V86" s="150">
        <f t="shared" si="40"/>
        <v>0</v>
      </c>
      <c r="W86" s="150">
        <f t="shared" si="40"/>
        <v>0</v>
      </c>
      <c r="X86" s="150">
        <f t="shared" si="40"/>
        <v>0</v>
      </c>
      <c r="Y86" s="150">
        <f t="shared" si="40"/>
        <v>0</v>
      </c>
      <c r="Z86" s="150">
        <f t="shared" si="40"/>
        <v>0</v>
      </c>
      <c r="AA86" s="150">
        <f t="shared" si="40"/>
        <v>0</v>
      </c>
      <c r="AB86" s="148"/>
      <c r="AC86" s="53"/>
      <c r="AE86" s="64">
        <v>4649.6780199999994</v>
      </c>
      <c r="AH86" s="21">
        <v>11922.421979999999</v>
      </c>
      <c r="AI86" s="21">
        <f>I86</f>
        <v>0</v>
      </c>
      <c r="AJ86" s="21"/>
      <c r="AK86" s="200">
        <f t="shared" si="3"/>
        <v>0</v>
      </c>
      <c r="AM86" s="200">
        <v>0</v>
      </c>
      <c r="AN86" s="200">
        <f t="shared" si="4"/>
        <v>0</v>
      </c>
    </row>
    <row r="87" spans="1:40" s="18" customFormat="1" ht="15.75" customHeight="1" x14ac:dyDescent="0.25">
      <c r="A87" s="79" t="s">
        <v>83</v>
      </c>
      <c r="B87" s="416" t="s">
        <v>82</v>
      </c>
      <c r="C87" s="42"/>
      <c r="D87" s="67"/>
      <c r="E87" s="42"/>
      <c r="F87" s="55">
        <v>44105</v>
      </c>
      <c r="G87" s="68">
        <v>44134</v>
      </c>
      <c r="H87" s="56" t="s">
        <v>37</v>
      </c>
      <c r="I87" s="57">
        <f>SUM(K87:AC87)</f>
        <v>1</v>
      </c>
      <c r="J87" s="57">
        <f t="shared" si="38"/>
        <v>1</v>
      </c>
      <c r="K87" s="50"/>
      <c r="L87" s="50"/>
      <c r="M87" s="50"/>
      <c r="N87" s="50"/>
      <c r="O87" s="50"/>
      <c r="P87" s="58"/>
      <c r="Q87" s="58"/>
      <c r="R87" s="59"/>
      <c r="S87" s="59"/>
      <c r="T87" s="137">
        <v>0</v>
      </c>
      <c r="U87" s="137">
        <v>0</v>
      </c>
      <c r="V87" s="137">
        <v>0</v>
      </c>
      <c r="W87" s="137">
        <v>0</v>
      </c>
      <c r="X87" s="137">
        <v>0</v>
      </c>
      <c r="Y87" s="137">
        <v>0</v>
      </c>
      <c r="Z87" s="137">
        <v>0</v>
      </c>
      <c r="AA87" s="215">
        <v>1</v>
      </c>
      <c r="AB87" s="51"/>
      <c r="AC87" s="69"/>
      <c r="AE87" s="64"/>
      <c r="AH87" s="21"/>
      <c r="AI87" s="21"/>
      <c r="AK87" s="200">
        <f t="shared" si="3"/>
        <v>0</v>
      </c>
      <c r="AM87" s="200">
        <v>0</v>
      </c>
      <c r="AN87" s="200">
        <f t="shared" si="4"/>
        <v>0</v>
      </c>
    </row>
    <row r="88" spans="1:40" ht="15.75" customHeight="1" x14ac:dyDescent="0.25">
      <c r="A88" s="85"/>
      <c r="B88" s="61"/>
      <c r="C88" s="42"/>
      <c r="D88" s="42"/>
      <c r="E88" s="38">
        <f>DATEDIF(F87,G87,"d")</f>
        <v>29</v>
      </c>
      <c r="F88" s="62"/>
      <c r="G88" s="62"/>
      <c r="H88" s="56" t="s">
        <v>36</v>
      </c>
      <c r="I88" s="163">
        <f>1011.54*1.051*1.05</f>
        <v>1116.2849670000001</v>
      </c>
      <c r="J88" s="153">
        <f t="shared" si="38"/>
        <v>1116.2849670000001</v>
      </c>
      <c r="K88" s="149"/>
      <c r="L88" s="149"/>
      <c r="M88" s="147"/>
      <c r="N88" s="147"/>
      <c r="O88" s="147"/>
      <c r="P88" s="151"/>
      <c r="Q88" s="151"/>
      <c r="R88" s="150"/>
      <c r="S88" s="150"/>
      <c r="T88" s="150">
        <f>$I88*T87</f>
        <v>0</v>
      </c>
      <c r="U88" s="150">
        <f t="shared" ref="U88:AA88" si="41">$I88*U87</f>
        <v>0</v>
      </c>
      <c r="V88" s="150">
        <f t="shared" si="41"/>
        <v>0</v>
      </c>
      <c r="W88" s="150">
        <f t="shared" si="41"/>
        <v>0</v>
      </c>
      <c r="X88" s="150">
        <f t="shared" si="41"/>
        <v>0</v>
      </c>
      <c r="Y88" s="150">
        <f t="shared" si="41"/>
        <v>0</v>
      </c>
      <c r="Z88" s="150">
        <f t="shared" si="41"/>
        <v>0</v>
      </c>
      <c r="AA88" s="150">
        <f t="shared" si="41"/>
        <v>1116.2849670000001</v>
      </c>
      <c r="AB88" s="148"/>
      <c r="AC88" s="53"/>
      <c r="AE88" s="64">
        <v>4649.6780199999994</v>
      </c>
      <c r="AH88" s="21">
        <v>11922.421979999999</v>
      </c>
      <c r="AI88" s="21">
        <f>I88</f>
        <v>1116.2849670000001</v>
      </c>
      <c r="AJ88" s="21"/>
      <c r="AK88" s="200">
        <f t="shared" si="3"/>
        <v>0.44</v>
      </c>
      <c r="AM88" s="200">
        <v>0.44</v>
      </c>
      <c r="AN88" s="200">
        <f t="shared" si="4"/>
        <v>0</v>
      </c>
    </row>
    <row r="89" spans="1:40" s="18" customFormat="1" ht="15.75" customHeight="1" x14ac:dyDescent="0.25">
      <c r="A89" s="79" t="s">
        <v>106</v>
      </c>
      <c r="B89" s="552" t="s">
        <v>109</v>
      </c>
      <c r="C89" s="42"/>
      <c r="D89" s="67"/>
      <c r="E89" s="42"/>
      <c r="F89" s="55">
        <v>44105</v>
      </c>
      <c r="G89" s="68">
        <v>44134</v>
      </c>
      <c r="H89" s="56" t="s">
        <v>37</v>
      </c>
      <c r="I89" s="57">
        <f>SUM(K89:AC89)</f>
        <v>1</v>
      </c>
      <c r="J89" s="57">
        <f t="shared" si="38"/>
        <v>1</v>
      </c>
      <c r="K89" s="50"/>
      <c r="L89" s="50"/>
      <c r="M89" s="50"/>
      <c r="N89" s="137">
        <v>0</v>
      </c>
      <c r="O89" s="137">
        <v>0</v>
      </c>
      <c r="P89" s="144">
        <f>35%*0</f>
        <v>0</v>
      </c>
      <c r="Q89" s="144">
        <v>0</v>
      </c>
      <c r="R89" s="144">
        <v>0</v>
      </c>
      <c r="S89" s="215">
        <v>0</v>
      </c>
      <c r="T89" s="215">
        <v>0.22</v>
      </c>
      <c r="U89" s="215">
        <v>0.11</v>
      </c>
      <c r="V89" s="215">
        <v>0.11</v>
      </c>
      <c r="W89" s="215">
        <v>0.11</v>
      </c>
      <c r="X89" s="215">
        <v>0.11</v>
      </c>
      <c r="Y89" s="215">
        <v>0.11</v>
      </c>
      <c r="Z89" s="215">
        <v>0.11</v>
      </c>
      <c r="AA89" s="215">
        <f>56%-Z89-Y89-X89-W89</f>
        <v>0.12000000000000009</v>
      </c>
      <c r="AB89" s="51"/>
      <c r="AC89" s="69"/>
      <c r="AE89" s="64"/>
      <c r="AH89" s="21"/>
      <c r="AI89" s="21"/>
      <c r="AK89" s="200">
        <f t="shared" si="3"/>
        <v>5925.002326320001</v>
      </c>
      <c r="AM89" s="200">
        <v>5925.002326320001</v>
      </c>
      <c r="AN89" s="200">
        <f t="shared" si="4"/>
        <v>0</v>
      </c>
    </row>
    <row r="90" spans="1:40" ht="24.75" customHeight="1" x14ac:dyDescent="0.25">
      <c r="A90" s="85"/>
      <c r="B90" s="553"/>
      <c r="C90" s="42"/>
      <c r="D90" s="42"/>
      <c r="E90" s="38">
        <f>DATEDIF(F89,G89,"d")</f>
        <v>29</v>
      </c>
      <c r="F90" s="62"/>
      <c r="G90" s="62"/>
      <c r="H90" s="56" t="s">
        <v>36</v>
      </c>
      <c r="I90" s="163">
        <f>12202.36*1.051*1.05</f>
        <v>13465.914378000001</v>
      </c>
      <c r="J90" s="153">
        <f t="shared" si="38"/>
        <v>13465.914378000001</v>
      </c>
      <c r="K90" s="149"/>
      <c r="L90" s="149"/>
      <c r="M90" s="147"/>
      <c r="N90" s="147">
        <f>I90*N89</f>
        <v>0</v>
      </c>
      <c r="O90" s="147">
        <f>I90*O89</f>
        <v>0</v>
      </c>
      <c r="P90" s="151">
        <f>I90*P89</f>
        <v>0</v>
      </c>
      <c r="Q90" s="151">
        <f>I90*Q89</f>
        <v>0</v>
      </c>
      <c r="R90" s="150">
        <f>$I90*R89</f>
        <v>0</v>
      </c>
      <c r="S90" s="150">
        <f t="shared" ref="S90:AA90" si="42">$I90*S89</f>
        <v>0</v>
      </c>
      <c r="T90" s="150">
        <f t="shared" si="42"/>
        <v>2962.5011631600005</v>
      </c>
      <c r="U90" s="150">
        <f t="shared" si="42"/>
        <v>1481.2505815800002</v>
      </c>
      <c r="V90" s="150">
        <f t="shared" si="42"/>
        <v>1481.2505815800002</v>
      </c>
      <c r="W90" s="150">
        <f t="shared" si="42"/>
        <v>1481.2505815800002</v>
      </c>
      <c r="X90" s="150">
        <f t="shared" si="42"/>
        <v>1481.2505815800002</v>
      </c>
      <c r="Y90" s="150">
        <f t="shared" si="42"/>
        <v>1481.2505815800002</v>
      </c>
      <c r="Z90" s="150">
        <f t="shared" si="42"/>
        <v>1481.2505815800002</v>
      </c>
      <c r="AA90" s="150">
        <f t="shared" si="42"/>
        <v>1615.9097253600014</v>
      </c>
      <c r="AB90" s="148"/>
      <c r="AC90" s="53"/>
      <c r="AE90" s="64">
        <v>4649.6780199999994</v>
      </c>
      <c r="AH90" s="21">
        <v>11922.421979999999</v>
      </c>
      <c r="AI90" s="21">
        <f>I90</f>
        <v>13465.914378000001</v>
      </c>
      <c r="AJ90" s="21"/>
      <c r="AK90" s="200">
        <f t="shared" ref="AK90:AK95" si="43">Q91+R91+S91+T91+U91+V91</f>
        <v>0</v>
      </c>
      <c r="AM90" s="200">
        <v>0</v>
      </c>
      <c r="AN90" s="200">
        <f t="shared" ref="AN90:AN95" si="44">AM90-AK90</f>
        <v>0</v>
      </c>
    </row>
    <row r="91" spans="1:40" s="18" customFormat="1" ht="15.75" customHeight="1" x14ac:dyDescent="0.25">
      <c r="A91" s="79" t="s">
        <v>107</v>
      </c>
      <c r="B91" s="416" t="s">
        <v>108</v>
      </c>
      <c r="C91" s="42"/>
      <c r="D91" s="67"/>
      <c r="E91" s="42"/>
      <c r="F91" s="55">
        <v>44105</v>
      </c>
      <c r="G91" s="68">
        <v>44134</v>
      </c>
      <c r="H91" s="56" t="s">
        <v>37</v>
      </c>
      <c r="I91" s="57">
        <f>SUM(K91:AC91)</f>
        <v>1</v>
      </c>
      <c r="J91" s="57">
        <f t="shared" si="38"/>
        <v>1</v>
      </c>
      <c r="K91" s="50"/>
      <c r="L91" s="50"/>
      <c r="M91" s="50"/>
      <c r="N91" s="137">
        <v>0</v>
      </c>
      <c r="O91" s="137">
        <v>0</v>
      </c>
      <c r="P91" s="137">
        <v>0</v>
      </c>
      <c r="Q91" s="137">
        <v>0</v>
      </c>
      <c r="R91" s="137">
        <v>0</v>
      </c>
      <c r="S91" s="137">
        <v>0</v>
      </c>
      <c r="T91" s="137">
        <v>0</v>
      </c>
      <c r="U91" s="137">
        <v>0</v>
      </c>
      <c r="V91" s="137">
        <v>0</v>
      </c>
      <c r="W91" s="137">
        <v>0</v>
      </c>
      <c r="X91" s="137">
        <v>0</v>
      </c>
      <c r="Y91" s="137">
        <v>0</v>
      </c>
      <c r="Z91" s="137">
        <v>0</v>
      </c>
      <c r="AA91" s="215">
        <v>1</v>
      </c>
      <c r="AB91" s="51"/>
      <c r="AC91" s="69"/>
      <c r="AE91" s="64"/>
      <c r="AH91" s="21"/>
      <c r="AI91" s="21"/>
      <c r="AK91" s="200">
        <f t="shared" si="43"/>
        <v>0</v>
      </c>
      <c r="AM91" s="200">
        <v>0</v>
      </c>
      <c r="AN91" s="200">
        <f t="shared" si="44"/>
        <v>0</v>
      </c>
    </row>
    <row r="92" spans="1:40" ht="15.75" customHeight="1" x14ac:dyDescent="0.25">
      <c r="A92" s="85"/>
      <c r="B92" s="61"/>
      <c r="C92" s="42"/>
      <c r="D92" s="42"/>
      <c r="E92" s="38">
        <f>DATEDIF(F91,G91,"d")</f>
        <v>29</v>
      </c>
      <c r="F92" s="62"/>
      <c r="G92" s="62"/>
      <c r="H92" s="56" t="s">
        <v>36</v>
      </c>
      <c r="I92" s="153">
        <f>377.86*1.051*1.05</f>
        <v>416.98740300000003</v>
      </c>
      <c r="J92" s="153">
        <f t="shared" si="38"/>
        <v>416.98740300000003</v>
      </c>
      <c r="K92" s="149"/>
      <c r="L92" s="149"/>
      <c r="M92" s="147"/>
      <c r="N92" s="147">
        <f>I92*N91</f>
        <v>0</v>
      </c>
      <c r="O92" s="147">
        <f>I92*O91</f>
        <v>0</v>
      </c>
      <c r="P92" s="151">
        <f>I92*P91</f>
        <v>0</v>
      </c>
      <c r="Q92" s="151"/>
      <c r="R92" s="150"/>
      <c r="S92" s="150"/>
      <c r="T92" s="150">
        <f>I92*T91</f>
        <v>0</v>
      </c>
      <c r="U92" s="148">
        <f>$I92*U91</f>
        <v>0</v>
      </c>
      <c r="V92" s="148">
        <f t="shared" ref="V92:AA92" si="45">$I92*V91</f>
        <v>0</v>
      </c>
      <c r="W92" s="148">
        <f t="shared" si="45"/>
        <v>0</v>
      </c>
      <c r="X92" s="148">
        <f t="shared" si="45"/>
        <v>0</v>
      </c>
      <c r="Y92" s="148">
        <f t="shared" si="45"/>
        <v>0</v>
      </c>
      <c r="Z92" s="148">
        <f t="shared" si="45"/>
        <v>0</v>
      </c>
      <c r="AA92" s="148">
        <f t="shared" si="45"/>
        <v>416.98740300000003</v>
      </c>
      <c r="AB92" s="148"/>
      <c r="AC92" s="53"/>
      <c r="AE92" s="64">
        <v>4649.6780199999994</v>
      </c>
      <c r="AH92" s="21">
        <v>11922.421979999999</v>
      </c>
      <c r="AI92" s="21">
        <f>I92</f>
        <v>416.98740300000003</v>
      </c>
      <c r="AJ92" s="21"/>
      <c r="AK92" s="200">
        <f t="shared" si="43"/>
        <v>0.44</v>
      </c>
      <c r="AM92" s="200">
        <v>0.44</v>
      </c>
      <c r="AN92" s="200">
        <f t="shared" si="44"/>
        <v>0</v>
      </c>
    </row>
    <row r="93" spans="1:40" s="18" customFormat="1" ht="21" customHeight="1" x14ac:dyDescent="0.25">
      <c r="A93" s="79" t="s">
        <v>111</v>
      </c>
      <c r="B93" s="416" t="s">
        <v>110</v>
      </c>
      <c r="C93" s="42"/>
      <c r="D93" s="67"/>
      <c r="E93" s="42"/>
      <c r="F93" s="55">
        <v>44105</v>
      </c>
      <c r="G93" s="68">
        <v>44134</v>
      </c>
      <c r="H93" s="56" t="s">
        <v>37</v>
      </c>
      <c r="I93" s="57">
        <f>SUM(K93:AC93)</f>
        <v>1</v>
      </c>
      <c r="J93" s="57">
        <f t="shared" si="38"/>
        <v>1</v>
      </c>
      <c r="K93" s="50"/>
      <c r="L93" s="50"/>
      <c r="M93" s="50"/>
      <c r="N93" s="137">
        <v>0</v>
      </c>
      <c r="O93" s="137">
        <v>0</v>
      </c>
      <c r="P93" s="137">
        <f>20%*0</f>
        <v>0</v>
      </c>
      <c r="Q93" s="137">
        <v>0</v>
      </c>
      <c r="R93" s="137">
        <v>0</v>
      </c>
      <c r="S93" s="215">
        <v>0</v>
      </c>
      <c r="T93" s="215">
        <v>0.22</v>
      </c>
      <c r="U93" s="215">
        <v>0.11</v>
      </c>
      <c r="V93" s="215">
        <v>0.11</v>
      </c>
      <c r="W93" s="215">
        <v>0.11</v>
      </c>
      <c r="X93" s="215">
        <v>0.11</v>
      </c>
      <c r="Y93" s="215">
        <v>0.11</v>
      </c>
      <c r="Z93" s="215">
        <v>0.11</v>
      </c>
      <c r="AA93" s="215">
        <f>56%-Z93-Y93-X93-W93</f>
        <v>0.12000000000000009</v>
      </c>
      <c r="AB93" s="51"/>
      <c r="AC93" s="69"/>
      <c r="AE93" s="64"/>
      <c r="AH93" s="21"/>
      <c r="AI93" s="21"/>
      <c r="AK93" s="200">
        <f t="shared" si="43"/>
        <v>2757.5939991600003</v>
      </c>
      <c r="AM93" s="200">
        <v>2757.5939991600003</v>
      </c>
      <c r="AN93" s="200">
        <f t="shared" si="44"/>
        <v>0</v>
      </c>
    </row>
    <row r="94" spans="1:40" ht="15.75" customHeight="1" x14ac:dyDescent="0.25">
      <c r="A94" s="85"/>
      <c r="B94" s="61"/>
      <c r="C94" s="42"/>
      <c r="D94" s="42"/>
      <c r="E94" s="38">
        <f>DATEDIF(F93,G93,"d")</f>
        <v>29</v>
      </c>
      <c r="F94" s="62"/>
      <c r="G94" s="62"/>
      <c r="H94" s="56" t="s">
        <v>36</v>
      </c>
      <c r="I94" s="153">
        <f>5679.18*1.051*1.05</f>
        <v>6267.2590890000001</v>
      </c>
      <c r="J94" s="153">
        <f t="shared" si="38"/>
        <v>6267.2590890000001</v>
      </c>
      <c r="K94" s="149"/>
      <c r="L94" s="149"/>
      <c r="M94" s="147"/>
      <c r="N94" s="147">
        <f>I94*N93</f>
        <v>0</v>
      </c>
      <c r="O94" s="147">
        <f>I94*O93</f>
        <v>0</v>
      </c>
      <c r="P94" s="151">
        <f>I94*P93</f>
        <v>0</v>
      </c>
      <c r="Q94" s="151">
        <f>I94*Q93</f>
        <v>0</v>
      </c>
      <c r="R94" s="150">
        <f>$I94*R93</f>
        <v>0</v>
      </c>
      <c r="S94" s="150">
        <f t="shared" ref="S94:AA94" si="46">$I94*S93</f>
        <v>0</v>
      </c>
      <c r="T94" s="150">
        <f t="shared" si="46"/>
        <v>1378.7969995800001</v>
      </c>
      <c r="U94" s="150">
        <f t="shared" si="46"/>
        <v>689.39849979000007</v>
      </c>
      <c r="V94" s="150">
        <f t="shared" si="46"/>
        <v>689.39849979000007</v>
      </c>
      <c r="W94" s="150">
        <f t="shared" si="46"/>
        <v>689.39849979000007</v>
      </c>
      <c r="X94" s="150">
        <f t="shared" si="46"/>
        <v>689.39849979000007</v>
      </c>
      <c r="Y94" s="150">
        <f t="shared" si="46"/>
        <v>689.39849979000007</v>
      </c>
      <c r="Z94" s="150">
        <f t="shared" si="46"/>
        <v>689.39849979000007</v>
      </c>
      <c r="AA94" s="150">
        <f t="shared" si="46"/>
        <v>752.07109068000057</v>
      </c>
      <c r="AB94" s="148"/>
      <c r="AC94" s="53"/>
      <c r="AE94" s="64">
        <v>4649.6780199999994</v>
      </c>
      <c r="AH94" s="21">
        <v>11922.421979999999</v>
      </c>
      <c r="AI94" s="21">
        <f>I94</f>
        <v>6267.2590890000001</v>
      </c>
      <c r="AJ94" s="21"/>
      <c r="AK94" s="200">
        <f t="shared" si="43"/>
        <v>101642.91880490999</v>
      </c>
      <c r="AM94" s="200">
        <v>101642.91880490999</v>
      </c>
      <c r="AN94" s="200">
        <f t="shared" si="44"/>
        <v>0</v>
      </c>
    </row>
    <row r="95" spans="1:40" s="18" customFormat="1" ht="28.5" customHeight="1" x14ac:dyDescent="0.25">
      <c r="A95" s="102" t="s">
        <v>56</v>
      </c>
      <c r="B95" s="103" t="s">
        <v>57</v>
      </c>
      <c r="C95" s="104"/>
      <c r="D95" s="104"/>
      <c r="E95" s="105"/>
      <c r="F95" s="106"/>
      <c r="G95" s="107"/>
      <c r="H95" s="108"/>
      <c r="I95" s="86">
        <f>I26+I28+I30+I33+I35+I37+I39+I41+I43+I45+I47+I49+I51+I54+I56+I58+I61+I64+I66+I68+I84+I86+I88+I90+I92+I94</f>
        <v>215176.34000000003</v>
      </c>
      <c r="J95" s="86">
        <f>J26+J28+J30+J33+J35+J37+J39+J41+J43+J45+J47+J49+J51+J54+J56+J58+J61+J64+J66+J68+J84+J86+J88+J90+J92+J94</f>
        <v>215176.34000000003</v>
      </c>
      <c r="K95" s="86"/>
      <c r="L95" s="86">
        <f t="shared" ref="L95:AB95" si="47">L26+L28+L30+L33+L35+L37+L39+L41+L43+L45+L47+L49+L51+L54+L56+L58+L61+L64+L66+L68+L84+L86+L88+L90+L92+L94</f>
        <v>0</v>
      </c>
      <c r="M95" s="86">
        <f t="shared" si="47"/>
        <v>0</v>
      </c>
      <c r="N95" s="86">
        <f t="shared" si="47"/>
        <v>0</v>
      </c>
      <c r="O95" s="86">
        <f t="shared" si="47"/>
        <v>0</v>
      </c>
      <c r="P95" s="86">
        <f t="shared" si="47"/>
        <v>0</v>
      </c>
      <c r="Q95" s="86">
        <f t="shared" si="47"/>
        <v>0</v>
      </c>
      <c r="R95" s="86">
        <f t="shared" si="47"/>
        <v>7051.0270000000028</v>
      </c>
      <c r="S95" s="86">
        <f t="shared" si="47"/>
        <v>0</v>
      </c>
      <c r="T95" s="86">
        <f t="shared" si="47"/>
        <v>53882.57957273339</v>
      </c>
      <c r="U95" s="86">
        <f t="shared" si="47"/>
        <v>21557.459403088298</v>
      </c>
      <c r="V95" s="86">
        <f t="shared" si="47"/>
        <v>19151.8528290883</v>
      </c>
      <c r="W95" s="224">
        <f t="shared" si="47"/>
        <v>18431.196569310003</v>
      </c>
      <c r="X95" s="224">
        <f t="shared" si="47"/>
        <v>22496.333441294999</v>
      </c>
      <c r="Y95" s="224">
        <f t="shared" si="47"/>
        <v>31504.201018920001</v>
      </c>
      <c r="Z95" s="224">
        <f t="shared" si="47"/>
        <v>30269.565942524998</v>
      </c>
      <c r="AA95" s="224">
        <f t="shared" si="47"/>
        <v>10832.124223040079</v>
      </c>
      <c r="AB95" s="224">
        <f t="shared" si="47"/>
        <v>0</v>
      </c>
      <c r="AC95" s="225"/>
      <c r="AD95" s="97" t="e">
        <f>#REF!+#REF!+#REF!</f>
        <v>#REF!</v>
      </c>
      <c r="AE95" s="109">
        <f>SUM(AE26:AE88)</f>
        <v>-19532.344759999891</v>
      </c>
      <c r="AG95" s="97">
        <f>SUM(Q95:V95)-Q68-R68</f>
        <v>101642.91880490999</v>
      </c>
      <c r="AH95" s="21" t="e">
        <f>#REF!+#REF!+AH68+AH66+AH30+AH28+AH26</f>
        <v>#REF!</v>
      </c>
      <c r="AI95" s="21" t="e">
        <f>#REF!+#REF!+AI68+AI66+AI30+AI28+AI26</f>
        <v>#REF!</v>
      </c>
      <c r="AJ95" s="21"/>
      <c r="AK95" s="200">
        <f t="shared" si="43"/>
        <v>0</v>
      </c>
      <c r="AM95" s="200">
        <f>'[3]Сух Лог_ВЭ_август'!$Q$26+'[3]Сух Лог_ВЭ_август'!$R$26+'[3]Сух Лог_ВЭ_август'!$S$26+'[3]Сух Лог_ВЭ_август'!$T$26+'[3]Сух Лог_ВЭ_август'!$U$26+'[3]Сух Лог_ВЭ_август'!$V$26</f>
        <v>937.35536999999999</v>
      </c>
      <c r="AN95" s="200">
        <f t="shared" si="44"/>
        <v>937.35536999999999</v>
      </c>
    </row>
    <row r="96" spans="1:40" s="18" customFormat="1" ht="33" customHeight="1" x14ac:dyDescent="0.25">
      <c r="A96" s="87" t="s">
        <v>58</v>
      </c>
      <c r="B96" s="110" t="s">
        <v>142</v>
      </c>
      <c r="C96" s="111"/>
      <c r="D96" s="111"/>
      <c r="E96" s="112"/>
      <c r="F96" s="77"/>
      <c r="G96" s="56"/>
      <c r="H96" s="113"/>
      <c r="I96" s="114">
        <f>SUM(K96:V96)</f>
        <v>158623.46666666679</v>
      </c>
      <c r="J96" s="157"/>
      <c r="K96" s="115">
        <f>I95*0.47435791500125</f>
        <v>102070.60000000009</v>
      </c>
      <c r="L96" s="50"/>
      <c r="M96" s="50">
        <f>J95*0.262821027008205</f>
        <v>56552.866666666705</v>
      </c>
      <c r="N96" s="50"/>
      <c r="O96" s="50"/>
      <c r="P96" s="50"/>
      <c r="Q96" s="50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116"/>
      <c r="AE96" s="117"/>
      <c r="AG96" s="97" t="e">
        <f>AG95-#REF!-#REF!-#REF!-#REF!</f>
        <v>#REF!</v>
      </c>
      <c r="AH96" s="21"/>
    </row>
    <row r="97" spans="1:34" s="18" customFormat="1" ht="56.25" x14ac:dyDescent="0.25">
      <c r="A97" s="92"/>
      <c r="B97" s="66" t="s">
        <v>143</v>
      </c>
      <c r="C97" s="111"/>
      <c r="D97" s="111"/>
      <c r="E97" s="112"/>
      <c r="F97" s="55"/>
      <c r="G97" s="68"/>
      <c r="H97" s="177"/>
      <c r="I97" s="178">
        <f>SUM(K97:AC97)</f>
        <v>56135.885930333287</v>
      </c>
      <c r="J97" s="179"/>
      <c r="K97" s="118">
        <f t="shared" ref="K97:M97" si="48">K95-K98</f>
        <v>0</v>
      </c>
      <c r="L97" s="118">
        <f t="shared" si="48"/>
        <v>0</v>
      </c>
      <c r="M97" s="118">
        <f t="shared" si="48"/>
        <v>0</v>
      </c>
      <c r="N97" s="118">
        <f>N95-N98</f>
        <v>0</v>
      </c>
      <c r="O97" s="118">
        <f t="shared" ref="O97:T97" si="49">O95-O98</f>
        <v>0</v>
      </c>
      <c r="P97" s="118">
        <f t="shared" si="49"/>
        <v>0</v>
      </c>
      <c r="Q97" s="118">
        <f t="shared" si="49"/>
        <v>0</v>
      </c>
      <c r="R97" s="118">
        <f t="shared" si="49"/>
        <v>0</v>
      </c>
      <c r="S97" s="118">
        <f t="shared" si="49"/>
        <v>0</v>
      </c>
      <c r="T97" s="118">
        <f t="shared" si="49"/>
        <v>0</v>
      </c>
      <c r="U97" s="118">
        <f>U95-U98-U92</f>
        <v>0</v>
      </c>
      <c r="V97" s="118">
        <v>0</v>
      </c>
      <c r="W97" s="118">
        <v>0</v>
      </c>
      <c r="X97" s="118">
        <v>0</v>
      </c>
      <c r="Y97" s="118">
        <f t="shared" ref="Y97:Z97" si="50">Y95-Y98</f>
        <v>15451.183167768213</v>
      </c>
      <c r="Z97" s="118">
        <f t="shared" si="50"/>
        <v>30269.565942524998</v>
      </c>
      <c r="AA97" s="118">
        <f>AA95-AA98-AA92</f>
        <v>10415.136820040079</v>
      </c>
      <c r="AB97" s="118"/>
      <c r="AC97" s="180"/>
      <c r="AE97" s="117"/>
      <c r="AG97" s="97"/>
      <c r="AH97" s="21"/>
    </row>
    <row r="98" spans="1:34" s="18" customFormat="1" ht="38.25" customHeight="1" x14ac:dyDescent="0.25">
      <c r="A98" s="92" t="s">
        <v>59</v>
      </c>
      <c r="B98" s="66" t="s">
        <v>144</v>
      </c>
      <c r="C98" s="111"/>
      <c r="D98" s="111"/>
      <c r="E98" s="112"/>
      <c r="F98" s="55"/>
      <c r="G98" s="68"/>
      <c r="H98" s="181"/>
      <c r="I98" s="178">
        <f>SUM(K98:AB98)</f>
        <v>158623.46666666679</v>
      </c>
      <c r="J98" s="182"/>
      <c r="K98" s="118">
        <f>K95*0.4</f>
        <v>0</v>
      </c>
      <c r="L98" s="118">
        <f>L95*0.737178957500625</f>
        <v>0</v>
      </c>
      <c r="M98" s="118">
        <f t="shared" ref="M98" si="51">M95*0.737178957500625</f>
        <v>0</v>
      </c>
      <c r="N98" s="118">
        <f>IF(N103&lt;$K$96+$M$96,N95,$K$96+$M$96-N103)</f>
        <v>0</v>
      </c>
      <c r="O98" s="118">
        <f t="shared" ref="O98:R98" si="52">IF(O103&lt;$K$96+$M$96,O95,$K$96+$M$96-O103)</f>
        <v>0</v>
      </c>
      <c r="P98" s="118">
        <f t="shared" si="52"/>
        <v>0</v>
      </c>
      <c r="Q98" s="118">
        <f t="shared" si="52"/>
        <v>0</v>
      </c>
      <c r="R98" s="118">
        <f t="shared" si="52"/>
        <v>7051.0270000000028</v>
      </c>
      <c r="S98" s="118">
        <f>IF(S103&lt;$K$96+$M$96,S95,$K$96+$M$96-R103)</f>
        <v>0</v>
      </c>
      <c r="T98" s="118">
        <f>IF(T103&lt;$K$96+$M$96,T95,$K$96+$M$96-S103)</f>
        <v>53882.57957273339</v>
      </c>
      <c r="U98" s="118">
        <f>IF(U103&lt;$K$96+$M$96,U95,$K$96+$M$96-T103)</f>
        <v>21557.459403088298</v>
      </c>
      <c r="V98" s="118">
        <f t="shared" ref="V98:Y98" si="53">IF(V103&lt;$K$96+$M$96,V95,$K$96+$M$96-U103)</f>
        <v>19151.8528290883</v>
      </c>
      <c r="W98" s="118">
        <f t="shared" si="53"/>
        <v>18431.196569310003</v>
      </c>
      <c r="X98" s="118">
        <f t="shared" si="53"/>
        <v>22496.333441294999</v>
      </c>
      <c r="Y98" s="118">
        <f t="shared" si="53"/>
        <v>16053.017851151788</v>
      </c>
      <c r="Z98" s="118">
        <v>0</v>
      </c>
      <c r="AA98" s="118">
        <v>0</v>
      </c>
      <c r="AB98" s="118"/>
      <c r="AC98" s="101"/>
      <c r="AE98" s="117"/>
    </row>
    <row r="99" spans="1:34" s="18" customFormat="1" ht="71.25" customHeight="1" x14ac:dyDescent="0.25">
      <c r="A99" s="92"/>
      <c r="B99" s="110" t="s">
        <v>145</v>
      </c>
      <c r="C99" s="111"/>
      <c r="D99" s="111"/>
      <c r="E99" s="112"/>
      <c r="F99" s="55"/>
      <c r="G99" s="68"/>
      <c r="H99" s="181"/>
      <c r="I99" s="178">
        <f>SUM(K99:AB99)</f>
        <v>416.98740300000003</v>
      </c>
      <c r="J99" s="182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>
        <f>U92</f>
        <v>0</v>
      </c>
      <c r="W99" s="118"/>
      <c r="X99" s="118"/>
      <c r="Y99" s="118"/>
      <c r="Z99" s="118"/>
      <c r="AA99" s="118"/>
      <c r="AB99" s="118">
        <f>AA92</f>
        <v>416.98740300000003</v>
      </c>
      <c r="AC99" s="101"/>
      <c r="AE99" s="117"/>
    </row>
    <row r="100" spans="1:34" s="18" customFormat="1" ht="26.65" customHeight="1" x14ac:dyDescent="0.25">
      <c r="A100" s="206" t="s">
        <v>61</v>
      </c>
      <c r="B100" s="207" t="s">
        <v>62</v>
      </c>
      <c r="C100" s="208"/>
      <c r="D100" s="208"/>
      <c r="E100" s="209"/>
      <c r="F100" s="210"/>
      <c r="G100" s="211"/>
      <c r="H100" s="212"/>
      <c r="I100" s="203">
        <f>SUM(K100:AB100)</f>
        <v>215176.34000000008</v>
      </c>
      <c r="J100" s="213"/>
      <c r="K100" s="214">
        <f>K96</f>
        <v>102070.60000000009</v>
      </c>
      <c r="L100" s="214">
        <f t="shared" ref="L100:M100" si="54">L96</f>
        <v>0</v>
      </c>
      <c r="M100" s="214">
        <f t="shared" si="54"/>
        <v>56552.866666666705</v>
      </c>
      <c r="N100" s="214">
        <f t="shared" ref="N100:AA100" si="55">N97</f>
        <v>0</v>
      </c>
      <c r="O100" s="214">
        <f t="shared" si="55"/>
        <v>0</v>
      </c>
      <c r="P100" s="214">
        <f t="shared" si="55"/>
        <v>0</v>
      </c>
      <c r="Q100" s="214">
        <f t="shared" si="55"/>
        <v>0</v>
      </c>
      <c r="R100" s="214">
        <f t="shared" si="55"/>
        <v>0</v>
      </c>
      <c r="S100" s="214">
        <f t="shared" si="55"/>
        <v>0</v>
      </c>
      <c r="T100" s="214">
        <f t="shared" si="55"/>
        <v>0</v>
      </c>
      <c r="U100" s="214">
        <f t="shared" si="55"/>
        <v>0</v>
      </c>
      <c r="V100" s="214">
        <f t="shared" si="55"/>
        <v>0</v>
      </c>
      <c r="W100" s="214">
        <f t="shared" si="55"/>
        <v>0</v>
      </c>
      <c r="X100" s="214">
        <f t="shared" si="55"/>
        <v>0</v>
      </c>
      <c r="Y100" s="214">
        <f t="shared" si="55"/>
        <v>15451.183167768213</v>
      </c>
      <c r="Z100" s="214">
        <f t="shared" si="55"/>
        <v>30269.565942524998</v>
      </c>
      <c r="AA100" s="214">
        <f t="shared" si="55"/>
        <v>10415.136820040079</v>
      </c>
      <c r="AB100" s="214">
        <f>AB97+AB96+AB98+AB99</f>
        <v>416.98740300000003</v>
      </c>
      <c r="AC100" s="204"/>
      <c r="AD100" s="128"/>
      <c r="AE100" s="117"/>
    </row>
    <row r="101" spans="1:34" ht="24.4" customHeight="1" x14ac:dyDescent="0.25">
      <c r="A101" s="87" t="s">
        <v>63</v>
      </c>
      <c r="B101" s="129" t="s">
        <v>135</v>
      </c>
      <c r="C101" s="40"/>
      <c r="D101" s="40"/>
      <c r="E101" s="42"/>
      <c r="F101" s="77"/>
      <c r="G101" s="56"/>
      <c r="H101" s="56"/>
      <c r="I101" s="130">
        <f>SUM(K101:AB101)</f>
        <v>43035.268000000018</v>
      </c>
      <c r="J101" s="130"/>
      <c r="K101" s="52">
        <f t="shared" ref="K101:AB101" si="56">K100*20%</f>
        <v>20414.120000000021</v>
      </c>
      <c r="L101" s="52">
        <f t="shared" si="56"/>
        <v>0</v>
      </c>
      <c r="M101" s="52">
        <f t="shared" si="56"/>
        <v>11310.573333333341</v>
      </c>
      <c r="N101" s="52">
        <f t="shared" si="56"/>
        <v>0</v>
      </c>
      <c r="O101" s="52">
        <f t="shared" si="56"/>
        <v>0</v>
      </c>
      <c r="P101" s="52">
        <f t="shared" si="56"/>
        <v>0</v>
      </c>
      <c r="Q101" s="52">
        <f t="shared" si="56"/>
        <v>0</v>
      </c>
      <c r="R101" s="52">
        <f t="shared" si="56"/>
        <v>0</v>
      </c>
      <c r="S101" s="52">
        <f t="shared" si="56"/>
        <v>0</v>
      </c>
      <c r="T101" s="52">
        <f t="shared" si="56"/>
        <v>0</v>
      </c>
      <c r="U101" s="52">
        <f t="shared" si="56"/>
        <v>0</v>
      </c>
      <c r="V101" s="52">
        <f t="shared" si="56"/>
        <v>0</v>
      </c>
      <c r="W101" s="52">
        <f t="shared" si="56"/>
        <v>0</v>
      </c>
      <c r="X101" s="52">
        <f t="shared" si="56"/>
        <v>0</v>
      </c>
      <c r="Y101" s="52">
        <f t="shared" si="56"/>
        <v>3090.2366335536426</v>
      </c>
      <c r="Z101" s="52">
        <f t="shared" si="56"/>
        <v>6053.9131885050001</v>
      </c>
      <c r="AA101" s="52">
        <f t="shared" si="56"/>
        <v>2083.0273640080159</v>
      </c>
      <c r="AB101" s="52">
        <f t="shared" si="56"/>
        <v>83.397480600000009</v>
      </c>
      <c r="AC101" s="52"/>
      <c r="AD101" s="131"/>
      <c r="AE101" s="40"/>
    </row>
    <row r="102" spans="1:34" ht="31.5" customHeight="1" x14ac:dyDescent="0.25">
      <c r="A102" s="87" t="s">
        <v>64</v>
      </c>
      <c r="B102" s="129" t="s">
        <v>65</v>
      </c>
      <c r="C102" s="40"/>
      <c r="D102" s="40"/>
      <c r="E102" s="42"/>
      <c r="F102" s="77"/>
      <c r="G102" s="56"/>
      <c r="H102" s="56"/>
      <c r="I102" s="132">
        <f>SUM(K102:AB102)</f>
        <v>258211.60800000012</v>
      </c>
      <c r="J102" s="132"/>
      <c r="K102" s="52">
        <f>K100+K101</f>
        <v>122484.72000000012</v>
      </c>
      <c r="L102" s="52">
        <f t="shared" ref="L102:AB102" si="57">L100+L101</f>
        <v>0</v>
      </c>
      <c r="M102" s="52">
        <f t="shared" si="57"/>
        <v>67863.440000000046</v>
      </c>
      <c r="N102" s="52">
        <f t="shared" si="57"/>
        <v>0</v>
      </c>
      <c r="O102" s="52">
        <f t="shared" si="57"/>
        <v>0</v>
      </c>
      <c r="P102" s="52">
        <f t="shared" si="57"/>
        <v>0</v>
      </c>
      <c r="Q102" s="52">
        <f t="shared" si="57"/>
        <v>0</v>
      </c>
      <c r="R102" s="52">
        <f t="shared" si="57"/>
        <v>0</v>
      </c>
      <c r="S102" s="52">
        <f t="shared" si="57"/>
        <v>0</v>
      </c>
      <c r="T102" s="52">
        <f t="shared" si="57"/>
        <v>0</v>
      </c>
      <c r="U102" s="52">
        <f t="shared" si="57"/>
        <v>0</v>
      </c>
      <c r="V102" s="52">
        <f t="shared" si="57"/>
        <v>0</v>
      </c>
      <c r="W102" s="52">
        <f t="shared" si="57"/>
        <v>0</v>
      </c>
      <c r="X102" s="52">
        <f t="shared" si="57"/>
        <v>0</v>
      </c>
      <c r="Y102" s="52">
        <f t="shared" si="57"/>
        <v>18541.419801321856</v>
      </c>
      <c r="Z102" s="52">
        <f t="shared" si="57"/>
        <v>36323.479131029999</v>
      </c>
      <c r="AA102" s="52">
        <f t="shared" si="57"/>
        <v>12498.164184048095</v>
      </c>
      <c r="AB102" s="52">
        <f t="shared" si="57"/>
        <v>500.38488360000002</v>
      </c>
      <c r="AC102" s="52"/>
      <c r="AD102" s="131"/>
      <c r="AE102" s="40"/>
    </row>
    <row r="103" spans="1:34" ht="31.5" customHeight="1" x14ac:dyDescent="0.25">
      <c r="A103" s="192"/>
      <c r="B103" s="193"/>
      <c r="C103" s="194"/>
      <c r="D103" s="194"/>
      <c r="E103" s="112"/>
      <c r="F103" s="195"/>
      <c r="G103" s="196"/>
      <c r="H103" s="196"/>
      <c r="I103" s="197"/>
      <c r="J103" s="198"/>
      <c r="K103" s="198"/>
      <c r="L103" s="198"/>
      <c r="M103" s="198"/>
      <c r="N103" s="220">
        <f>N95</f>
        <v>0</v>
      </c>
      <c r="O103" s="220">
        <f>N103+O95</f>
        <v>0</v>
      </c>
      <c r="P103" s="220">
        <f t="shared" ref="P103:AB103" si="58">O103+P95</f>
        <v>0</v>
      </c>
      <c r="Q103" s="220">
        <f t="shared" si="58"/>
        <v>0</v>
      </c>
      <c r="R103" s="198">
        <f t="shared" si="58"/>
        <v>7051.0270000000028</v>
      </c>
      <c r="S103" s="198">
        <f t="shared" si="58"/>
        <v>7051.0270000000028</v>
      </c>
      <c r="T103" s="198">
        <f t="shared" si="58"/>
        <v>60933.606572733392</v>
      </c>
      <c r="U103" s="198">
        <f t="shared" si="58"/>
        <v>82491.065975821693</v>
      </c>
      <c r="V103" s="226">
        <f t="shared" si="58"/>
        <v>101642.91880490999</v>
      </c>
      <c r="W103" s="223">
        <f t="shared" si="58"/>
        <v>120074.11537422</v>
      </c>
      <c r="X103" s="223">
        <f t="shared" si="58"/>
        <v>142570.448815515</v>
      </c>
      <c r="Y103" s="223">
        <f t="shared" si="58"/>
        <v>174074.649834435</v>
      </c>
      <c r="Z103" s="223">
        <f t="shared" si="58"/>
        <v>204344.21577695999</v>
      </c>
      <c r="AA103" s="223">
        <f t="shared" si="58"/>
        <v>215176.34000000005</v>
      </c>
      <c r="AB103" s="223">
        <f t="shared" si="58"/>
        <v>215176.34000000005</v>
      </c>
      <c r="AC103" s="199"/>
      <c r="AD103" s="131"/>
      <c r="AE103" s="194"/>
    </row>
    <row r="104" spans="1:34" ht="28.5" customHeight="1" x14ac:dyDescent="0.25">
      <c r="A104" s="2"/>
      <c r="B104" s="134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227" t="s">
        <v>151</v>
      </c>
      <c r="V104" s="226">
        <f>V103*1.2</f>
        <v>121971.50256589198</v>
      </c>
      <c r="W104" s="155"/>
      <c r="X104" s="155"/>
      <c r="Y104" s="155"/>
      <c r="Z104" s="155"/>
      <c r="AA104" s="155"/>
      <c r="AB104" s="155"/>
    </row>
    <row r="105" spans="1:34" x14ac:dyDescent="0.25">
      <c r="A105" s="2"/>
      <c r="B105" s="135"/>
      <c r="I105" s="155"/>
      <c r="J105" s="155"/>
      <c r="K105" s="155">
        <f t="shared" ref="K105:AB105" si="59">K106+K109+K110+K111+K112+K113</f>
        <v>0</v>
      </c>
      <c r="L105" s="155">
        <f t="shared" si="59"/>
        <v>0</v>
      </c>
      <c r="M105" s="155">
        <f t="shared" si="59"/>
        <v>0</v>
      </c>
      <c r="N105" s="155">
        <f t="shared" si="59"/>
        <v>0</v>
      </c>
      <c r="O105" s="155">
        <f t="shared" si="59"/>
        <v>0</v>
      </c>
      <c r="P105" s="155">
        <f t="shared" si="59"/>
        <v>0</v>
      </c>
      <c r="Q105" s="155">
        <f t="shared" si="59"/>
        <v>0</v>
      </c>
      <c r="R105" s="155">
        <f t="shared" si="59"/>
        <v>7051027.0000000028</v>
      </c>
      <c r="S105" s="155">
        <f t="shared" si="59"/>
        <v>0</v>
      </c>
      <c r="T105" s="155">
        <f t="shared" si="59"/>
        <v>53882579.572733402</v>
      </c>
      <c r="U105" s="155">
        <f t="shared" si="59"/>
        <v>21557459.403088305</v>
      </c>
      <c r="V105" s="155">
        <f t="shared" si="59"/>
        <v>19151852.829088308</v>
      </c>
      <c r="W105" s="155">
        <f t="shared" si="59"/>
        <v>18431196.569310002</v>
      </c>
      <c r="X105" s="155">
        <f t="shared" si="59"/>
        <v>22496333.441295005</v>
      </c>
      <c r="Y105" s="155">
        <f t="shared" si="59"/>
        <v>31504201.018920004</v>
      </c>
      <c r="Z105" s="155">
        <f t="shared" si="59"/>
        <v>30269565.942525003</v>
      </c>
      <c r="AA105" s="155">
        <f t="shared" si="59"/>
        <v>10832124.22304008</v>
      </c>
      <c r="AB105" s="155">
        <f t="shared" si="59"/>
        <v>0</v>
      </c>
    </row>
    <row r="106" spans="1:34" x14ac:dyDescent="0.25">
      <c r="A106" s="2"/>
      <c r="B106" s="168" t="s">
        <v>129</v>
      </c>
      <c r="C106" s="40"/>
      <c r="D106" s="40"/>
      <c r="E106" s="40"/>
      <c r="F106" s="40"/>
      <c r="G106" s="40"/>
      <c r="H106" s="169"/>
      <c r="I106" s="170">
        <f>(I84+I56+I35+I68)*1000</f>
        <v>59360774.218652576</v>
      </c>
      <c r="J106" s="170">
        <f>(J84+J56+J35+J68)*1000</f>
        <v>59360774.218652576</v>
      </c>
      <c r="K106" s="170">
        <f t="shared" ref="K106:AB106" si="60">(K84+K56+K35+K68)*1000</f>
        <v>0</v>
      </c>
      <c r="L106" s="170">
        <f t="shared" si="60"/>
        <v>0</v>
      </c>
      <c r="M106" s="170">
        <f t="shared" si="60"/>
        <v>0</v>
      </c>
      <c r="N106" s="170">
        <f t="shared" si="60"/>
        <v>0</v>
      </c>
      <c r="O106" s="170">
        <f t="shared" si="60"/>
        <v>0</v>
      </c>
      <c r="P106" s="170">
        <f t="shared" si="60"/>
        <v>0</v>
      </c>
      <c r="Q106" s="170">
        <f t="shared" si="60"/>
        <v>0</v>
      </c>
      <c r="R106" s="170">
        <f t="shared" si="60"/>
        <v>0</v>
      </c>
      <c r="S106" s="170">
        <f t="shared" si="60"/>
        <v>0</v>
      </c>
      <c r="T106" s="170">
        <f t="shared" si="60"/>
        <v>14114468.255563801</v>
      </c>
      <c r="U106" s="170">
        <f t="shared" si="60"/>
        <v>5645787.3022255199</v>
      </c>
      <c r="V106" s="170">
        <f t="shared" si="60"/>
        <v>5645787.3022255227</v>
      </c>
      <c r="W106" s="170">
        <f t="shared" si="60"/>
        <v>5645787.3022255199</v>
      </c>
      <c r="X106" s="170">
        <f t="shared" si="60"/>
        <v>7057234.1277819006</v>
      </c>
      <c r="Y106" s="170">
        <f t="shared" si="60"/>
        <v>9499380.0194078498</v>
      </c>
      <c r="Z106" s="170">
        <f t="shared" si="60"/>
        <v>9028897.7442223895</v>
      </c>
      <c r="AA106" s="170">
        <f t="shared" si="60"/>
        <v>2723432.1650000764</v>
      </c>
      <c r="AB106" s="170">
        <f t="shared" si="60"/>
        <v>0</v>
      </c>
    </row>
    <row r="107" spans="1:34" x14ac:dyDescent="0.25">
      <c r="A107" s="2"/>
      <c r="B107" s="171" t="s">
        <v>152</v>
      </c>
      <c r="C107" s="40"/>
      <c r="D107" s="40"/>
      <c r="E107" s="40"/>
      <c r="F107" s="40"/>
      <c r="G107" s="40"/>
      <c r="H107" s="169"/>
      <c r="I107" s="64">
        <f>(I35+I56)*1000</f>
        <v>56637342.053652503</v>
      </c>
      <c r="J107" s="64">
        <f>(J56+J35)*1000</f>
        <v>56637342.053652503</v>
      </c>
      <c r="K107" s="64">
        <f t="shared" ref="K107:AB107" si="61">(K56+K35)*1000</f>
        <v>0</v>
      </c>
      <c r="L107" s="64">
        <f t="shared" si="61"/>
        <v>0</v>
      </c>
      <c r="M107" s="64">
        <f t="shared" si="61"/>
        <v>0</v>
      </c>
      <c r="N107" s="64">
        <f t="shared" si="61"/>
        <v>0</v>
      </c>
      <c r="O107" s="64">
        <f t="shared" si="61"/>
        <v>0</v>
      </c>
      <c r="P107" s="64">
        <f t="shared" si="61"/>
        <v>0</v>
      </c>
      <c r="Q107" s="64">
        <f t="shared" si="61"/>
        <v>0</v>
      </c>
      <c r="R107" s="64">
        <f t="shared" si="61"/>
        <v>0</v>
      </c>
      <c r="S107" s="64">
        <f t="shared" si="61"/>
        <v>0</v>
      </c>
      <c r="T107" s="64">
        <f t="shared" si="61"/>
        <v>14114468.255563801</v>
      </c>
      <c r="U107" s="64">
        <f t="shared" si="61"/>
        <v>5645787.3022255199</v>
      </c>
      <c r="V107" s="64">
        <f t="shared" si="61"/>
        <v>5645787.3022255227</v>
      </c>
      <c r="W107" s="64">
        <f t="shared" si="61"/>
        <v>5645787.3022255199</v>
      </c>
      <c r="X107" s="64">
        <f t="shared" si="61"/>
        <v>7057234.1277819006</v>
      </c>
      <c r="Y107" s="64">
        <f t="shared" si="61"/>
        <v>9499380.0194078498</v>
      </c>
      <c r="Z107" s="64">
        <f t="shared" si="61"/>
        <v>9028897.7442223895</v>
      </c>
      <c r="AA107" s="64">
        <f t="shared" si="61"/>
        <v>0</v>
      </c>
      <c r="AB107" s="64">
        <f t="shared" si="61"/>
        <v>0</v>
      </c>
    </row>
    <row r="108" spans="1:34" x14ac:dyDescent="0.25">
      <c r="A108" s="2"/>
      <c r="B108" s="171" t="s">
        <v>126</v>
      </c>
      <c r="C108" s="40"/>
      <c r="D108" s="40"/>
      <c r="E108" s="40"/>
      <c r="F108" s="40"/>
      <c r="G108" s="40"/>
      <c r="H108" s="169"/>
      <c r="I108" s="64">
        <f>(I84+I68)*1000</f>
        <v>2723432.1650000764</v>
      </c>
      <c r="J108" s="64">
        <f>(J84+J68)*1000</f>
        <v>2723432.1650000764</v>
      </c>
      <c r="K108" s="64">
        <f t="shared" ref="K108:AB108" si="62">(K84+K68)*1000</f>
        <v>0</v>
      </c>
      <c r="L108" s="64">
        <f t="shared" si="62"/>
        <v>0</v>
      </c>
      <c r="M108" s="64">
        <f t="shared" si="62"/>
        <v>0</v>
      </c>
      <c r="N108" s="64">
        <f t="shared" si="62"/>
        <v>0</v>
      </c>
      <c r="O108" s="64">
        <f t="shared" si="62"/>
        <v>0</v>
      </c>
      <c r="P108" s="64">
        <f t="shared" si="62"/>
        <v>0</v>
      </c>
      <c r="Q108" s="64">
        <f t="shared" si="62"/>
        <v>0</v>
      </c>
      <c r="R108" s="64">
        <f t="shared" si="62"/>
        <v>0</v>
      </c>
      <c r="S108" s="64">
        <f t="shared" si="62"/>
        <v>0</v>
      </c>
      <c r="T108" s="64">
        <f t="shared" si="62"/>
        <v>0</v>
      </c>
      <c r="U108" s="64">
        <f t="shared" si="62"/>
        <v>0</v>
      </c>
      <c r="V108" s="64">
        <f t="shared" si="62"/>
        <v>0</v>
      </c>
      <c r="W108" s="64">
        <f t="shared" si="62"/>
        <v>0</v>
      </c>
      <c r="X108" s="64">
        <f t="shared" si="62"/>
        <v>0</v>
      </c>
      <c r="Y108" s="64">
        <f t="shared" si="62"/>
        <v>0</v>
      </c>
      <c r="Z108" s="64">
        <f t="shared" si="62"/>
        <v>0</v>
      </c>
      <c r="AA108" s="64">
        <f t="shared" si="62"/>
        <v>2723432.1650000764</v>
      </c>
      <c r="AB108" s="64">
        <f t="shared" si="62"/>
        <v>0</v>
      </c>
    </row>
    <row r="109" spans="1:34" ht="18.75" customHeight="1" x14ac:dyDescent="0.25">
      <c r="A109" s="2"/>
      <c r="B109" s="40" t="s">
        <v>54</v>
      </c>
      <c r="C109" s="40"/>
      <c r="D109" s="40"/>
      <c r="E109" s="40"/>
      <c r="F109" s="40"/>
      <c r="G109" s="40"/>
      <c r="H109" s="40"/>
      <c r="I109" s="172">
        <f t="shared" ref="I109:AB109" si="63">(I26+I28+I30+I33+I39+I41+I43+I45+I47+I49+I51+I54+I61)*1000</f>
        <v>119546363.60934751</v>
      </c>
      <c r="J109" s="172">
        <f t="shared" si="63"/>
        <v>119546363.60934751</v>
      </c>
      <c r="K109" s="172">
        <f t="shared" si="63"/>
        <v>0</v>
      </c>
      <c r="L109" s="172">
        <f t="shared" si="63"/>
        <v>0</v>
      </c>
      <c r="M109" s="172">
        <f t="shared" si="63"/>
        <v>0</v>
      </c>
      <c r="N109" s="172">
        <f>(N26+N28+N30+N33+N39+N41+N43+N45+N47+N49+N51+N54+N61)*1000</f>
        <v>0</v>
      </c>
      <c r="O109" s="172">
        <f t="shared" si="63"/>
        <v>0</v>
      </c>
      <c r="P109" s="172">
        <f t="shared" si="63"/>
        <v>0</v>
      </c>
      <c r="Q109" s="172">
        <f t="shared" si="63"/>
        <v>0</v>
      </c>
      <c r="R109" s="172">
        <f t="shared" si="63"/>
        <v>5304057.9999999972</v>
      </c>
      <c r="S109" s="172">
        <f t="shared" si="63"/>
        <v>0</v>
      </c>
      <c r="T109" s="172">
        <f t="shared" si="63"/>
        <v>33079902.348429598</v>
      </c>
      <c r="U109" s="172">
        <f t="shared" si="63"/>
        <v>12103471.097092781</v>
      </c>
      <c r="V109" s="172">
        <f t="shared" si="63"/>
        <v>9697864.5230927821</v>
      </c>
      <c r="W109" s="172">
        <f t="shared" si="63"/>
        <v>8977208.26331448</v>
      </c>
      <c r="X109" s="172">
        <f t="shared" si="63"/>
        <v>11221510.329143101</v>
      </c>
      <c r="Y109" s="172">
        <f t="shared" si="63"/>
        <v>18400073.516142152</v>
      </c>
      <c r="Z109" s="172">
        <f t="shared" si="63"/>
        <v>17772383.375132609</v>
      </c>
      <c r="AA109" s="172">
        <f t="shared" si="63"/>
        <v>2989892.1570000001</v>
      </c>
      <c r="AB109" s="172">
        <f t="shared" si="63"/>
        <v>0</v>
      </c>
    </row>
    <row r="110" spans="1:34" ht="15.75" customHeight="1" x14ac:dyDescent="0.25">
      <c r="A110" s="2"/>
      <c r="B110" s="40" t="s">
        <v>132</v>
      </c>
      <c r="C110" s="40"/>
      <c r="D110" s="40"/>
      <c r="E110" s="40"/>
      <c r="F110" s="40"/>
      <c r="G110" s="40"/>
      <c r="H110" s="40"/>
      <c r="I110" s="173">
        <f>(I86+I58+I37)*1000</f>
        <v>13785209.619999999</v>
      </c>
      <c r="J110" s="173">
        <f>(J86+J58+J37)*1000</f>
        <v>13785209.619999999</v>
      </c>
      <c r="K110" s="173">
        <f t="shared" ref="K110:AA110" si="64">(K86+K58+K37)*1000</f>
        <v>0</v>
      </c>
      <c r="L110" s="173">
        <f t="shared" si="64"/>
        <v>0</v>
      </c>
      <c r="M110" s="173">
        <f t="shared" si="64"/>
        <v>0</v>
      </c>
      <c r="N110" s="173">
        <f t="shared" si="64"/>
        <v>0</v>
      </c>
      <c r="O110" s="173">
        <f t="shared" si="64"/>
        <v>0</v>
      </c>
      <c r="P110" s="173">
        <f t="shared" si="64"/>
        <v>0</v>
      </c>
      <c r="Q110" s="173">
        <f t="shared" si="64"/>
        <v>0</v>
      </c>
      <c r="R110" s="173">
        <f t="shared" si="64"/>
        <v>1746969.0000000056</v>
      </c>
      <c r="S110" s="173">
        <f t="shared" si="64"/>
        <v>0</v>
      </c>
      <c r="T110" s="173">
        <f t="shared" si="64"/>
        <v>2346910.8059999943</v>
      </c>
      <c r="U110" s="173">
        <f t="shared" si="64"/>
        <v>1637551.9223999998</v>
      </c>
      <c r="V110" s="173">
        <f t="shared" si="64"/>
        <v>1637551.9223999998</v>
      </c>
      <c r="W110" s="173">
        <f t="shared" si="64"/>
        <v>1637551.9223999998</v>
      </c>
      <c r="X110" s="173">
        <f t="shared" si="64"/>
        <v>2046939.9029999997</v>
      </c>
      <c r="Y110" s="173">
        <f t="shared" si="64"/>
        <v>1434098.402</v>
      </c>
      <c r="Z110" s="173">
        <f t="shared" si="64"/>
        <v>1297635.7418</v>
      </c>
      <c r="AA110" s="173">
        <f t="shared" si="64"/>
        <v>0</v>
      </c>
      <c r="AB110" s="173">
        <f>(AB86+AB58+AB37)*1000</f>
        <v>0</v>
      </c>
    </row>
    <row r="111" spans="1:34" x14ac:dyDescent="0.25">
      <c r="B111" s="40" t="s">
        <v>130</v>
      </c>
      <c r="C111" s="40"/>
      <c r="D111" s="40"/>
      <c r="E111" s="40"/>
      <c r="F111" s="40"/>
      <c r="G111" s="40"/>
      <c r="H111" s="40"/>
      <c r="I111" s="174">
        <f>(I64+I66+I88+I90)*1000</f>
        <v>15799746.060000001</v>
      </c>
      <c r="J111" s="174">
        <f>(J64+J66+J88+J90)*1000</f>
        <v>15799746.060000001</v>
      </c>
      <c r="K111" s="174">
        <f t="shared" ref="K111:AB111" si="65">(K64+K66+K68+K88+K90)*1000</f>
        <v>0</v>
      </c>
      <c r="L111" s="174">
        <f t="shared" si="65"/>
        <v>0</v>
      </c>
      <c r="M111" s="174">
        <f t="shared" si="65"/>
        <v>0</v>
      </c>
      <c r="N111" s="174">
        <f t="shared" si="65"/>
        <v>0</v>
      </c>
      <c r="O111" s="174">
        <f t="shared" si="65"/>
        <v>0</v>
      </c>
      <c r="P111" s="174">
        <f t="shared" si="65"/>
        <v>0</v>
      </c>
      <c r="Q111" s="174">
        <f t="shared" si="65"/>
        <v>0</v>
      </c>
      <c r="R111" s="174">
        <f t="shared" si="65"/>
        <v>0</v>
      </c>
      <c r="S111" s="174">
        <f t="shared" si="65"/>
        <v>0</v>
      </c>
      <c r="T111" s="174">
        <f t="shared" si="65"/>
        <v>2962501.1631600005</v>
      </c>
      <c r="U111" s="174">
        <f t="shared" si="65"/>
        <v>1481250.5815800002</v>
      </c>
      <c r="V111" s="174">
        <f t="shared" si="65"/>
        <v>1481250.5815800002</v>
      </c>
      <c r="W111" s="174">
        <f t="shared" si="65"/>
        <v>1481250.5815800002</v>
      </c>
      <c r="X111" s="174">
        <f t="shared" si="65"/>
        <v>1481250.5815800002</v>
      </c>
      <c r="Y111" s="174">
        <f t="shared" si="65"/>
        <v>1481250.5815800002</v>
      </c>
      <c r="Z111" s="174">
        <f t="shared" si="65"/>
        <v>1481250.5815800002</v>
      </c>
      <c r="AA111" s="174">
        <f>(AA64+AA66+AA88+AA90)*1000</f>
        <v>3949741.407360001</v>
      </c>
      <c r="AB111" s="174">
        <f t="shared" si="65"/>
        <v>0</v>
      </c>
    </row>
    <row r="112" spans="1:34" x14ac:dyDescent="0.25">
      <c r="B112" s="40" t="s">
        <v>127</v>
      </c>
      <c r="C112" s="40"/>
      <c r="D112" s="40"/>
      <c r="E112" s="40"/>
      <c r="F112" s="40"/>
      <c r="G112" s="40"/>
      <c r="H112" s="40"/>
      <c r="I112" s="175">
        <f>I92*1000</f>
        <v>416987.40300000005</v>
      </c>
      <c r="J112" s="175">
        <f>J92*1000</f>
        <v>416987.40300000005</v>
      </c>
      <c r="K112" s="175">
        <f t="shared" ref="K112:AB112" si="66">K92*1000</f>
        <v>0</v>
      </c>
      <c r="L112" s="175">
        <f t="shared" si="66"/>
        <v>0</v>
      </c>
      <c r="M112" s="175">
        <f t="shared" si="66"/>
        <v>0</v>
      </c>
      <c r="N112" s="175">
        <f t="shared" si="66"/>
        <v>0</v>
      </c>
      <c r="O112" s="175">
        <f t="shared" si="66"/>
        <v>0</v>
      </c>
      <c r="P112" s="175">
        <f t="shared" si="66"/>
        <v>0</v>
      </c>
      <c r="Q112" s="175">
        <f t="shared" si="66"/>
        <v>0</v>
      </c>
      <c r="R112" s="175">
        <f t="shared" si="66"/>
        <v>0</v>
      </c>
      <c r="S112" s="175">
        <f t="shared" si="66"/>
        <v>0</v>
      </c>
      <c r="T112" s="175">
        <f t="shared" si="66"/>
        <v>0</v>
      </c>
      <c r="U112" s="175">
        <f t="shared" si="66"/>
        <v>0</v>
      </c>
      <c r="V112" s="175">
        <f t="shared" si="66"/>
        <v>0</v>
      </c>
      <c r="W112" s="175">
        <f t="shared" si="66"/>
        <v>0</v>
      </c>
      <c r="X112" s="175">
        <f t="shared" si="66"/>
        <v>0</v>
      </c>
      <c r="Y112" s="175">
        <f t="shared" si="66"/>
        <v>0</v>
      </c>
      <c r="Z112" s="175">
        <f t="shared" si="66"/>
        <v>0</v>
      </c>
      <c r="AA112" s="175">
        <f t="shared" si="66"/>
        <v>416987.40300000005</v>
      </c>
      <c r="AB112" s="175">
        <f t="shared" si="66"/>
        <v>0</v>
      </c>
    </row>
    <row r="113" spans="2:28" x14ac:dyDescent="0.25">
      <c r="B113" s="40" t="s">
        <v>128</v>
      </c>
      <c r="C113" s="40"/>
      <c r="D113" s="40"/>
      <c r="E113" s="40"/>
      <c r="F113" s="40"/>
      <c r="G113" s="40"/>
      <c r="H113" s="40"/>
      <c r="I113" s="175">
        <f>I94*1000</f>
        <v>6267259.0889999997</v>
      </c>
      <c r="J113" s="175">
        <f>J94*1000</f>
        <v>6267259.0889999997</v>
      </c>
      <c r="K113" s="175">
        <f t="shared" ref="K113:AB113" si="67">K94*1000</f>
        <v>0</v>
      </c>
      <c r="L113" s="175">
        <f t="shared" si="67"/>
        <v>0</v>
      </c>
      <c r="M113" s="175">
        <f t="shared" si="67"/>
        <v>0</v>
      </c>
      <c r="N113" s="175">
        <f t="shared" si="67"/>
        <v>0</v>
      </c>
      <c r="O113" s="175">
        <f t="shared" si="67"/>
        <v>0</v>
      </c>
      <c r="P113" s="175">
        <f t="shared" si="67"/>
        <v>0</v>
      </c>
      <c r="Q113" s="175">
        <f t="shared" si="67"/>
        <v>0</v>
      </c>
      <c r="R113" s="175">
        <f t="shared" si="67"/>
        <v>0</v>
      </c>
      <c r="S113" s="175">
        <f>S94*1000</f>
        <v>0</v>
      </c>
      <c r="T113" s="175">
        <f t="shared" ref="T113:AA113" si="68">T94*1000</f>
        <v>1378796.9995800001</v>
      </c>
      <c r="U113" s="175">
        <f t="shared" si="68"/>
        <v>689398.49979000003</v>
      </c>
      <c r="V113" s="175">
        <f t="shared" si="68"/>
        <v>689398.49979000003</v>
      </c>
      <c r="W113" s="175">
        <f t="shared" si="68"/>
        <v>689398.49979000003</v>
      </c>
      <c r="X113" s="175">
        <f t="shared" si="68"/>
        <v>689398.49979000003</v>
      </c>
      <c r="Y113" s="175">
        <f t="shared" si="68"/>
        <v>689398.49979000003</v>
      </c>
      <c r="Z113" s="175">
        <f t="shared" si="68"/>
        <v>689398.49979000003</v>
      </c>
      <c r="AA113" s="175">
        <f t="shared" si="68"/>
        <v>752071.09068000061</v>
      </c>
      <c r="AB113" s="175">
        <f t="shared" si="67"/>
        <v>0</v>
      </c>
    </row>
    <row r="116" spans="2:28" x14ac:dyDescent="0.25">
      <c r="I116" s="3">
        <f>I106+I109+I110+I111+I112+I113</f>
        <v>215176340.00000006</v>
      </c>
      <c r="J116" s="3">
        <f>J106+J109+J110+J111+J112+J113</f>
        <v>215176340.00000006</v>
      </c>
    </row>
    <row r="117" spans="2:28" x14ac:dyDescent="0.25">
      <c r="AA117" s="155">
        <f>AA105/1000-AA95</f>
        <v>0</v>
      </c>
    </row>
    <row r="118" spans="2:28" x14ac:dyDescent="0.25">
      <c r="I118" s="3">
        <f>I116-I106</f>
        <v>155815565.78134748</v>
      </c>
      <c r="J118" s="3">
        <f>J116-J106</f>
        <v>155815565.78134748</v>
      </c>
    </row>
  </sheetData>
  <mergeCells count="14">
    <mergeCell ref="B34:B35"/>
    <mergeCell ref="A15:AC15"/>
    <mergeCell ref="I20:V21"/>
    <mergeCell ref="AD20:AD21"/>
    <mergeCell ref="AE20:AE21"/>
    <mergeCell ref="B32:B33"/>
    <mergeCell ref="B85:B86"/>
    <mergeCell ref="B89:B90"/>
    <mergeCell ref="B36:B37"/>
    <mergeCell ref="B53:B54"/>
    <mergeCell ref="B55:B56"/>
    <mergeCell ref="B57:B58"/>
    <mergeCell ref="B67:B68"/>
    <mergeCell ref="B83:B8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6"/>
  <sheetViews>
    <sheetView workbookViewId="0">
      <pane xSplit="1" ySplit="2" topLeftCell="B27" activePane="bottomRight" state="frozen"/>
      <selection activeCell="X73" sqref="X73"/>
      <selection pane="topRight" activeCell="X73" sqref="X73"/>
      <selection pane="bottomLeft" activeCell="X73" sqref="X73"/>
      <selection pane="bottomRight" activeCell="X73" sqref="X73"/>
    </sheetView>
  </sheetViews>
  <sheetFormatPr defaultRowHeight="13.5" customHeight="1" outlineLevelCol="1" x14ac:dyDescent="0.25"/>
  <cols>
    <col min="1" max="1" width="49.5703125" style="368" bestFit="1" customWidth="1"/>
    <col min="2" max="4" width="16" style="368" hidden="1" customWidth="1" outlineLevel="1"/>
    <col min="5" max="5" width="13.5703125" style="407" bestFit="1" customWidth="1" collapsed="1"/>
    <col min="6" max="7" width="9.140625" style="368" hidden="1" customWidth="1" outlineLevel="1"/>
    <col min="8" max="8" width="12.42578125" style="368" hidden="1" customWidth="1" outlineLevel="1"/>
    <col min="9" max="9" width="9.140625" style="368" hidden="1" customWidth="1" outlineLevel="1"/>
    <col min="10" max="10" width="12.42578125" style="368" hidden="1" customWidth="1" outlineLevel="1"/>
    <col min="11" max="12" width="11.42578125" style="368" hidden="1" customWidth="1" outlineLevel="1"/>
    <col min="13" max="16" width="12.42578125" style="368" hidden="1" customWidth="1" outlineLevel="1"/>
    <col min="17" max="17" width="13.7109375" style="368" hidden="1" customWidth="1" outlineLevel="1"/>
    <col min="18" max="18" width="13.5703125" style="407" bestFit="1" customWidth="1" collapsed="1"/>
    <col min="19" max="22" width="12.42578125" style="368" hidden="1" customWidth="1" outlineLevel="1"/>
    <col min="23" max="23" width="15" style="368" hidden="1" customWidth="1" outlineLevel="1"/>
    <col min="24" max="25" width="11.42578125" style="368" hidden="1" customWidth="1" outlineLevel="1"/>
    <col min="26" max="26" width="12.42578125" style="368" hidden="1" customWidth="1" outlineLevel="1"/>
    <col min="27" max="27" width="9.140625" style="368" hidden="1" customWidth="1" outlineLevel="1"/>
    <col min="28" max="29" width="11.42578125" style="368" hidden="1" customWidth="1" outlineLevel="1"/>
    <col min="30" max="30" width="10.7109375" style="368" hidden="1" customWidth="1" outlineLevel="1"/>
    <col min="31" max="31" width="13.5703125" style="407" bestFit="1" customWidth="1" collapsed="1"/>
    <col min="32" max="32" width="13.5703125" style="407" bestFit="1" customWidth="1"/>
    <col min="33" max="33" width="13.5703125" style="408" bestFit="1" customWidth="1"/>
    <col min="34" max="34" width="13.5703125" style="409" bestFit="1" customWidth="1"/>
    <col min="35" max="16384" width="9.140625" style="368"/>
  </cols>
  <sheetData>
    <row r="1" spans="1:34" ht="30" x14ac:dyDescent="0.25">
      <c r="A1" s="365"/>
      <c r="B1" s="560">
        <v>2018</v>
      </c>
      <c r="C1" s="561"/>
      <c r="D1" s="562"/>
      <c r="E1" s="366">
        <v>2018</v>
      </c>
      <c r="F1" s="563">
        <v>2019</v>
      </c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366">
        <v>2019</v>
      </c>
      <c r="S1" s="563">
        <v>2020</v>
      </c>
      <c r="T1" s="563"/>
      <c r="U1" s="563"/>
      <c r="V1" s="563"/>
      <c r="W1" s="563"/>
      <c r="X1" s="563"/>
      <c r="Y1" s="563"/>
      <c r="Z1" s="563"/>
      <c r="AA1" s="563"/>
      <c r="AB1" s="563"/>
      <c r="AC1" s="563"/>
      <c r="AD1" s="563"/>
      <c r="AE1" s="366">
        <v>2020</v>
      </c>
      <c r="AF1" s="366"/>
      <c r="AG1" s="421" t="s">
        <v>191</v>
      </c>
      <c r="AH1" s="367" t="s">
        <v>192</v>
      </c>
    </row>
    <row r="2" spans="1:34" ht="13.5" customHeight="1" x14ac:dyDescent="0.25">
      <c r="A2" s="422" t="s">
        <v>193</v>
      </c>
      <c r="B2" s="369" t="s">
        <v>33</v>
      </c>
      <c r="C2" s="369" t="s">
        <v>34</v>
      </c>
      <c r="D2" s="369" t="s">
        <v>35</v>
      </c>
      <c r="E2" s="370"/>
      <c r="F2" s="369" t="s">
        <v>24</v>
      </c>
      <c r="G2" s="369" t="s">
        <v>25</v>
      </c>
      <c r="H2" s="369" t="s">
        <v>26</v>
      </c>
      <c r="I2" s="369" t="s">
        <v>27</v>
      </c>
      <c r="J2" s="369" t="s">
        <v>28</v>
      </c>
      <c r="K2" s="369" t="s">
        <v>29</v>
      </c>
      <c r="L2" s="369" t="s">
        <v>30</v>
      </c>
      <c r="M2" s="369" t="s">
        <v>31</v>
      </c>
      <c r="N2" s="369" t="s">
        <v>32</v>
      </c>
      <c r="O2" s="369" t="s">
        <v>33</v>
      </c>
      <c r="P2" s="369" t="s">
        <v>34</v>
      </c>
      <c r="Q2" s="369" t="s">
        <v>35</v>
      </c>
      <c r="R2" s="370"/>
      <c r="S2" s="369" t="s">
        <v>24</v>
      </c>
      <c r="T2" s="369" t="s">
        <v>25</v>
      </c>
      <c r="U2" s="369" t="s">
        <v>26</v>
      </c>
      <c r="V2" s="369" t="s">
        <v>27</v>
      </c>
      <c r="W2" s="369" t="s">
        <v>28</v>
      </c>
      <c r="X2" s="369" t="s">
        <v>29</v>
      </c>
      <c r="Y2" s="369" t="s">
        <v>30</v>
      </c>
      <c r="Z2" s="369" t="s">
        <v>31</v>
      </c>
      <c r="AA2" s="369" t="s">
        <v>32</v>
      </c>
      <c r="AB2" s="369" t="s">
        <v>33</v>
      </c>
      <c r="AC2" s="369" t="s">
        <v>34</v>
      </c>
      <c r="AD2" s="369" t="s">
        <v>35</v>
      </c>
      <c r="AE2" s="370"/>
      <c r="AF2" s="370" t="s">
        <v>175</v>
      </c>
      <c r="AG2" s="371"/>
      <c r="AH2" s="372"/>
    </row>
    <row r="3" spans="1:34" ht="13.5" customHeight="1" x14ac:dyDescent="0.25">
      <c r="A3" s="365" t="s">
        <v>176</v>
      </c>
      <c r="B3" s="373">
        <f>B9+B12+B14+B4+B7</f>
        <v>120268.56</v>
      </c>
      <c r="C3" s="373">
        <f>C9+C12+C14+C4+C7</f>
        <v>180402.84</v>
      </c>
      <c r="D3" s="373">
        <f>D9+D12+D14+D4+D7</f>
        <v>0</v>
      </c>
      <c r="E3" s="374">
        <f>B3+C3+D3</f>
        <v>300671.40000000002</v>
      </c>
      <c r="F3" s="373">
        <f t="shared" ref="F3:Q3" si="0">F9+F12+F14+F4+F7</f>
        <v>0</v>
      </c>
      <c r="G3" s="373">
        <f t="shared" si="0"/>
        <v>0</v>
      </c>
      <c r="H3" s="373">
        <f t="shared" si="0"/>
        <v>0</v>
      </c>
      <c r="I3" s="373">
        <f t="shared" si="0"/>
        <v>0</v>
      </c>
      <c r="J3" s="373">
        <f t="shared" si="0"/>
        <v>0</v>
      </c>
      <c r="K3" s="373">
        <f t="shared" si="0"/>
        <v>2283333</v>
      </c>
      <c r="L3" s="373">
        <f t="shared" si="0"/>
        <v>740000</v>
      </c>
      <c r="M3" s="373">
        <f t="shared" si="0"/>
        <v>57821844.829999998</v>
      </c>
      <c r="N3" s="373">
        <f t="shared" si="0"/>
        <v>51009043.899999999</v>
      </c>
      <c r="O3" s="373">
        <f t="shared" si="0"/>
        <v>0</v>
      </c>
      <c r="P3" s="373">
        <f t="shared" si="0"/>
        <v>37973025.219999999</v>
      </c>
      <c r="Q3" s="373">
        <f t="shared" si="0"/>
        <v>84324893.140000001</v>
      </c>
      <c r="R3" s="374">
        <f>F3+G3+H3+I3+J3+K3+L3+M3+N3+O3+P3+Q3</f>
        <v>234152140.08999997</v>
      </c>
      <c r="S3" s="373">
        <f t="shared" ref="S3:AD3" si="1">S9+S12+S14+S4+S7</f>
        <v>0</v>
      </c>
      <c r="T3" s="373">
        <f t="shared" si="1"/>
        <v>75060703.609999999</v>
      </c>
      <c r="U3" s="373">
        <f t="shared" si="1"/>
        <v>42573544.240000002</v>
      </c>
      <c r="V3" s="373">
        <f t="shared" si="1"/>
        <v>0</v>
      </c>
      <c r="W3" s="373">
        <f t="shared" si="1"/>
        <v>18084413.079999998</v>
      </c>
      <c r="X3" s="373">
        <f t="shared" si="1"/>
        <v>0</v>
      </c>
      <c r="Y3" s="373">
        <f t="shared" si="1"/>
        <v>7714309.5</v>
      </c>
      <c r="Z3" s="373">
        <f t="shared" si="1"/>
        <v>25072547.440000001</v>
      </c>
      <c r="AA3" s="373">
        <f t="shared" si="1"/>
        <v>0</v>
      </c>
      <c r="AB3" s="373">
        <f t="shared" si="1"/>
        <v>6670968.5700000003</v>
      </c>
      <c r="AC3" s="373">
        <f t="shared" si="1"/>
        <v>3744156</v>
      </c>
      <c r="AD3" s="373">
        <f t="shared" si="1"/>
        <v>-677545.57</v>
      </c>
      <c r="AE3" s="374">
        <f>S3+T3+U3+V3+W3+X3+Y3+Z3+AA3+AB3+AC3+AD3</f>
        <v>178243096.87</v>
      </c>
      <c r="AF3" s="373">
        <f>AF9+AF12+AF14+AF4+AF7</f>
        <v>412695908.35999995</v>
      </c>
      <c r="AG3" s="375"/>
      <c r="AH3" s="376"/>
    </row>
    <row r="4" spans="1:34" ht="13.5" customHeight="1" x14ac:dyDescent="0.25">
      <c r="A4" s="377" t="s">
        <v>177</v>
      </c>
      <c r="B4" s="378">
        <f>B5</f>
        <v>0</v>
      </c>
      <c r="C4" s="378">
        <f t="shared" ref="C4:D4" si="2">C5</f>
        <v>0</v>
      </c>
      <c r="D4" s="378">
        <f t="shared" si="2"/>
        <v>0</v>
      </c>
      <c r="E4" s="374">
        <f>B4+C4+D4</f>
        <v>0</v>
      </c>
      <c r="F4" s="378">
        <f>F5+F6</f>
        <v>0</v>
      </c>
      <c r="G4" s="378">
        <f t="shared" ref="G4:Q4" si="3">G5+G6</f>
        <v>0</v>
      </c>
      <c r="H4" s="378">
        <f t="shared" si="3"/>
        <v>0</v>
      </c>
      <c r="I4" s="378">
        <f t="shared" si="3"/>
        <v>0</v>
      </c>
      <c r="J4" s="378">
        <f t="shared" si="3"/>
        <v>0</v>
      </c>
      <c r="K4" s="378">
        <f t="shared" si="3"/>
        <v>0</v>
      </c>
      <c r="L4" s="378">
        <f t="shared" si="3"/>
        <v>0</v>
      </c>
      <c r="M4" s="378">
        <f t="shared" si="3"/>
        <v>0</v>
      </c>
      <c r="N4" s="378">
        <f t="shared" si="3"/>
        <v>0</v>
      </c>
      <c r="O4" s="378">
        <f t="shared" si="3"/>
        <v>0</v>
      </c>
      <c r="P4" s="378">
        <f t="shared" si="3"/>
        <v>0</v>
      </c>
      <c r="Q4" s="378">
        <f t="shared" si="3"/>
        <v>50383287.640000001</v>
      </c>
      <c r="R4" s="374">
        <f>F4+G4+H4+I4+J4+K4+L4+M4+N4+O4+P4+Q4</f>
        <v>50383287.640000001</v>
      </c>
      <c r="S4" s="378">
        <f>S5+S6</f>
        <v>0</v>
      </c>
      <c r="T4" s="378">
        <f t="shared" ref="T4:AD4" si="4">T5+T6</f>
        <v>0</v>
      </c>
      <c r="U4" s="378">
        <f t="shared" si="4"/>
        <v>0</v>
      </c>
      <c r="V4" s="378">
        <f t="shared" si="4"/>
        <v>0</v>
      </c>
      <c r="W4" s="378">
        <f t="shared" si="4"/>
        <v>0</v>
      </c>
      <c r="X4" s="378">
        <f t="shared" si="4"/>
        <v>0</v>
      </c>
      <c r="Y4" s="378">
        <f t="shared" si="4"/>
        <v>0</v>
      </c>
      <c r="Z4" s="378">
        <f t="shared" si="4"/>
        <v>0</v>
      </c>
      <c r="AA4" s="378">
        <f t="shared" si="4"/>
        <v>0</v>
      </c>
      <c r="AB4" s="378">
        <f t="shared" si="4"/>
        <v>0</v>
      </c>
      <c r="AC4" s="378">
        <f t="shared" si="4"/>
        <v>0</v>
      </c>
      <c r="AD4" s="378">
        <f t="shared" si="4"/>
        <v>0</v>
      </c>
      <c r="AE4" s="374">
        <f>S4+T4+U4+V4+W4+X4+Y4+Z4+AA4+AB4+AC4+AD4</f>
        <v>0</v>
      </c>
      <c r="AF4" s="374">
        <f>E4+R4+AE4</f>
        <v>50383287.640000001</v>
      </c>
      <c r="AG4" s="379"/>
      <c r="AH4" s="380"/>
    </row>
    <row r="5" spans="1:34" ht="13.5" customHeight="1" x14ac:dyDescent="0.25">
      <c r="A5" s="381" t="s">
        <v>141</v>
      </c>
      <c r="B5" s="382"/>
      <c r="C5" s="382"/>
      <c r="D5" s="382"/>
      <c r="E5" s="383">
        <f>B5+C5+D5</f>
        <v>0</v>
      </c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  <c r="Q5" s="382">
        <v>50226532</v>
      </c>
      <c r="R5" s="383">
        <f>F5+G5+H5+I5+J5+K5+L5+M5+N5+O5+P5+Q5</f>
        <v>50226532</v>
      </c>
      <c r="S5" s="382"/>
      <c r="T5" s="382"/>
      <c r="U5" s="382"/>
      <c r="V5" s="382"/>
      <c r="W5" s="382"/>
      <c r="X5" s="382"/>
      <c r="Y5" s="382"/>
      <c r="Z5" s="382"/>
      <c r="AA5" s="382"/>
      <c r="AB5" s="382"/>
      <c r="AC5" s="382"/>
      <c r="AD5" s="382"/>
      <c r="AE5" s="383">
        <f>S5+T5+U5+V5+W5+X5+Y5+Z5+AA5+AB5+AC5+AD5</f>
        <v>0</v>
      </c>
      <c r="AF5" s="383">
        <f>E5+R5+AE5</f>
        <v>50226532</v>
      </c>
      <c r="AG5" s="384"/>
      <c r="AH5" s="385"/>
    </row>
    <row r="6" spans="1:34" ht="13.5" customHeight="1" x14ac:dyDescent="0.25">
      <c r="A6" s="381" t="s">
        <v>178</v>
      </c>
      <c r="B6" s="382"/>
      <c r="C6" s="382"/>
      <c r="D6" s="382"/>
      <c r="E6" s="383">
        <f>B6+C6+D6</f>
        <v>0</v>
      </c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>
        <v>156755.64000000001</v>
      </c>
      <c r="R6" s="383">
        <f>F6+G6+H6+I6+J6+K6+L6+M6+N6+O6+P6+Q6</f>
        <v>156755.64000000001</v>
      </c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3">
        <f>S6+T6+U6+V6+W6+X6+Y6+Z6+AA6+AB6+AC6+AD6</f>
        <v>0</v>
      </c>
      <c r="AF6" s="383">
        <f>E6+R6+AE6</f>
        <v>156755.64000000001</v>
      </c>
      <c r="AG6" s="384"/>
      <c r="AH6" s="385"/>
    </row>
    <row r="7" spans="1:34" ht="13.5" customHeight="1" x14ac:dyDescent="0.25">
      <c r="A7" s="386" t="s">
        <v>179</v>
      </c>
      <c r="B7" s="387">
        <f t="shared" ref="B7:AE7" si="5">B8</f>
        <v>0</v>
      </c>
      <c r="C7" s="387">
        <f t="shared" si="5"/>
        <v>0</v>
      </c>
      <c r="D7" s="387">
        <f t="shared" si="5"/>
        <v>0</v>
      </c>
      <c r="E7" s="374">
        <f t="shared" si="5"/>
        <v>0</v>
      </c>
      <c r="F7" s="387">
        <f t="shared" si="5"/>
        <v>0</v>
      </c>
      <c r="G7" s="387">
        <f t="shared" si="5"/>
        <v>0</v>
      </c>
      <c r="H7" s="387">
        <f t="shared" si="5"/>
        <v>0</v>
      </c>
      <c r="I7" s="387">
        <f t="shared" si="5"/>
        <v>0</v>
      </c>
      <c r="J7" s="387">
        <f t="shared" si="5"/>
        <v>0</v>
      </c>
      <c r="K7" s="387">
        <f t="shared" si="5"/>
        <v>0</v>
      </c>
      <c r="L7" s="387">
        <f t="shared" si="5"/>
        <v>0</v>
      </c>
      <c r="M7" s="387">
        <f t="shared" si="5"/>
        <v>0</v>
      </c>
      <c r="N7" s="387">
        <f t="shared" si="5"/>
        <v>0</v>
      </c>
      <c r="O7" s="387">
        <f t="shared" si="5"/>
        <v>0</v>
      </c>
      <c r="P7" s="387">
        <f t="shared" si="5"/>
        <v>0</v>
      </c>
      <c r="Q7" s="387">
        <f t="shared" si="5"/>
        <v>0</v>
      </c>
      <c r="R7" s="374">
        <f t="shared" si="5"/>
        <v>0</v>
      </c>
      <c r="S7" s="387">
        <f t="shared" si="5"/>
        <v>0</v>
      </c>
      <c r="T7" s="387">
        <f t="shared" si="5"/>
        <v>0</v>
      </c>
      <c r="U7" s="387">
        <f t="shared" si="5"/>
        <v>0</v>
      </c>
      <c r="V7" s="387">
        <f t="shared" si="5"/>
        <v>0</v>
      </c>
      <c r="W7" s="387">
        <f t="shared" si="5"/>
        <v>0</v>
      </c>
      <c r="X7" s="387">
        <f t="shared" si="5"/>
        <v>0</v>
      </c>
      <c r="Y7" s="387">
        <f t="shared" si="5"/>
        <v>0</v>
      </c>
      <c r="Z7" s="387">
        <f t="shared" si="5"/>
        <v>109515.6</v>
      </c>
      <c r="AA7" s="387">
        <f t="shared" si="5"/>
        <v>0</v>
      </c>
      <c r="AB7" s="387">
        <f t="shared" si="5"/>
        <v>23329.57</v>
      </c>
      <c r="AC7" s="387">
        <f t="shared" si="5"/>
        <v>0</v>
      </c>
      <c r="AD7" s="387">
        <f t="shared" si="5"/>
        <v>0</v>
      </c>
      <c r="AE7" s="374">
        <f t="shared" si="5"/>
        <v>132845.17000000001</v>
      </c>
      <c r="AF7" s="374">
        <f>AF8</f>
        <v>132845.17000000001</v>
      </c>
      <c r="AG7" s="379"/>
      <c r="AH7" s="380"/>
    </row>
    <row r="8" spans="1:34" s="393" customFormat="1" ht="13.5" customHeight="1" x14ac:dyDescent="0.25">
      <c r="A8" s="388" t="s">
        <v>179</v>
      </c>
      <c r="B8" s="389"/>
      <c r="C8" s="389"/>
      <c r="D8" s="389"/>
      <c r="E8" s="383">
        <f>B8+C8+D8</f>
        <v>0</v>
      </c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>
        <v>0</v>
      </c>
      <c r="R8" s="383">
        <f t="shared" ref="R8:R31" si="6">F8+G8+H8+I8+J8+K8+L8+M8+N8+O8+P8+Q8</f>
        <v>0</v>
      </c>
      <c r="S8" s="389"/>
      <c r="T8" s="389"/>
      <c r="U8" s="389"/>
      <c r="V8" s="389"/>
      <c r="W8" s="389"/>
      <c r="X8" s="389"/>
      <c r="Y8" s="389"/>
      <c r="Z8" s="389">
        <f>54659.66+54855.94</f>
        <v>109515.6</v>
      </c>
      <c r="AA8" s="389"/>
      <c r="AB8" s="389">
        <v>23329.57</v>
      </c>
      <c r="AC8" s="389"/>
      <c r="AD8" s="389"/>
      <c r="AE8" s="383">
        <f t="shared" ref="AE8:AE33" si="7">S8+T8+U8+V8+W8+X8+Y8+Z8+AA8+AB8+AC8+AD8</f>
        <v>132845.17000000001</v>
      </c>
      <c r="AF8" s="390">
        <f t="shared" ref="AF8:AF23" si="8">E8+R8+AE8</f>
        <v>132845.17000000001</v>
      </c>
      <c r="AG8" s="391"/>
      <c r="AH8" s="392"/>
    </row>
    <row r="9" spans="1:34" ht="13.5" customHeight="1" x14ac:dyDescent="0.25">
      <c r="A9" s="394" t="s">
        <v>180</v>
      </c>
      <c r="B9" s="395">
        <f>B10+0+0+B11+0</f>
        <v>0</v>
      </c>
      <c r="C9" s="395">
        <f>C10+0+0+C11+0</f>
        <v>0</v>
      </c>
      <c r="D9" s="395">
        <f>D10+0+0+D11+0</f>
        <v>0</v>
      </c>
      <c r="E9" s="374">
        <f>B9+C9+D9</f>
        <v>0</v>
      </c>
      <c r="F9" s="395">
        <f t="shared" ref="F9:Q9" si="9">F10+0+0+F11+0</f>
        <v>0</v>
      </c>
      <c r="G9" s="395">
        <f t="shared" si="9"/>
        <v>0</v>
      </c>
      <c r="H9" s="395">
        <f t="shared" si="9"/>
        <v>0</v>
      </c>
      <c r="I9" s="395">
        <f t="shared" si="9"/>
        <v>0</v>
      </c>
      <c r="J9" s="395">
        <f t="shared" si="9"/>
        <v>0</v>
      </c>
      <c r="K9" s="395">
        <f t="shared" si="9"/>
        <v>0</v>
      </c>
      <c r="L9" s="395">
        <f t="shared" si="9"/>
        <v>0</v>
      </c>
      <c r="M9" s="395">
        <f t="shared" si="9"/>
        <v>57821844.829999998</v>
      </c>
      <c r="N9" s="395">
        <f t="shared" si="9"/>
        <v>51199043.899999999</v>
      </c>
      <c r="O9" s="395">
        <f t="shared" si="9"/>
        <v>0</v>
      </c>
      <c r="P9" s="395">
        <f t="shared" si="9"/>
        <v>37973025.219999999</v>
      </c>
      <c r="Q9" s="395">
        <f t="shared" si="9"/>
        <v>32781168.5</v>
      </c>
      <c r="R9" s="374">
        <f t="shared" si="6"/>
        <v>179775082.44999999</v>
      </c>
      <c r="S9" s="395">
        <f t="shared" ref="S9:AD9" si="10">S10+0+0+S11+0</f>
        <v>0</v>
      </c>
      <c r="T9" s="395">
        <f t="shared" si="10"/>
        <v>75060703.609999999</v>
      </c>
      <c r="U9" s="395">
        <f t="shared" si="10"/>
        <v>42573544.240000002</v>
      </c>
      <c r="V9" s="395">
        <f t="shared" si="10"/>
        <v>0</v>
      </c>
      <c r="W9" s="395">
        <f t="shared" si="10"/>
        <v>18084413.079999998</v>
      </c>
      <c r="X9" s="395">
        <f t="shared" si="10"/>
        <v>0</v>
      </c>
      <c r="Y9" s="395">
        <f t="shared" si="10"/>
        <v>7714309.5</v>
      </c>
      <c r="Z9" s="395">
        <f t="shared" si="10"/>
        <v>24963031.84</v>
      </c>
      <c r="AA9" s="395">
        <f t="shared" si="10"/>
        <v>0</v>
      </c>
      <c r="AB9" s="395">
        <f t="shared" si="10"/>
        <v>6647639</v>
      </c>
      <c r="AC9" s="395">
        <f t="shared" si="10"/>
        <v>3744156</v>
      </c>
      <c r="AD9" s="395">
        <f t="shared" si="10"/>
        <v>-677545.57</v>
      </c>
      <c r="AE9" s="374">
        <f t="shared" si="7"/>
        <v>178110251.70000002</v>
      </c>
      <c r="AF9" s="374">
        <f t="shared" si="8"/>
        <v>357885334.14999998</v>
      </c>
      <c r="AG9" s="379">
        <f>AG10+AG11+AG12</f>
        <v>359045771.14999998</v>
      </c>
      <c r="AH9" s="380"/>
    </row>
    <row r="10" spans="1:34" ht="13.5" customHeight="1" x14ac:dyDescent="0.25">
      <c r="A10" s="201" t="s">
        <v>181</v>
      </c>
      <c r="B10" s="396"/>
      <c r="C10" s="396"/>
      <c r="D10" s="396"/>
      <c r="E10" s="383">
        <f t="shared" ref="E10:E41" si="11">B10+C10+D10</f>
        <v>0</v>
      </c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>
        <v>1782744.99</v>
      </c>
      <c r="R10" s="383">
        <f t="shared" si="6"/>
        <v>1782744.99</v>
      </c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83">
        <f t="shared" si="7"/>
        <v>0</v>
      </c>
      <c r="AF10" s="383">
        <f t="shared" si="8"/>
        <v>1782744.99</v>
      </c>
      <c r="AG10" s="384">
        <f>AF10</f>
        <v>1782744.99</v>
      </c>
      <c r="AH10" s="385"/>
    </row>
    <row r="11" spans="1:34" ht="13.5" customHeight="1" x14ac:dyDescent="0.25">
      <c r="A11" s="201" t="s">
        <v>54</v>
      </c>
      <c r="B11" s="396"/>
      <c r="C11" s="396"/>
      <c r="D11" s="396"/>
      <c r="E11" s="383">
        <f t="shared" si="11"/>
        <v>0</v>
      </c>
      <c r="F11" s="396"/>
      <c r="G11" s="396"/>
      <c r="H11" s="396"/>
      <c r="I11" s="396"/>
      <c r="J11" s="396"/>
      <c r="K11" s="396"/>
      <c r="L11" s="396"/>
      <c r="M11" s="396">
        <v>57821844.829999998</v>
      </c>
      <c r="N11" s="396">
        <v>51199043.899999999</v>
      </c>
      <c r="O11" s="396"/>
      <c r="P11" s="396">
        <v>37973025.219999999</v>
      </c>
      <c r="Q11" s="396">
        <v>30998423.510000002</v>
      </c>
      <c r="R11" s="383">
        <f t="shared" si="6"/>
        <v>177992337.45999998</v>
      </c>
      <c r="S11" s="396"/>
      <c r="T11" s="396">
        <v>75060703.609999999</v>
      </c>
      <c r="U11" s="396">
        <v>42573544.240000002</v>
      </c>
      <c r="V11" s="396"/>
      <c r="W11" s="396">
        <v>18084413.079999998</v>
      </c>
      <c r="X11" s="396"/>
      <c r="Y11" s="396">
        <v>7714309.5</v>
      </c>
      <c r="Z11" s="396">
        <v>24963031.84</v>
      </c>
      <c r="AA11" s="396"/>
      <c r="AB11" s="396">
        <v>6647639</v>
      </c>
      <c r="AC11" s="396">
        <v>3744156</v>
      </c>
      <c r="AD11" s="396">
        <v>-677545.57</v>
      </c>
      <c r="AE11" s="383">
        <f t="shared" si="7"/>
        <v>178110251.70000002</v>
      </c>
      <c r="AF11" s="383">
        <f t="shared" si="8"/>
        <v>356102589.15999997</v>
      </c>
      <c r="AG11" s="384">
        <v>356102589.15999997</v>
      </c>
      <c r="AH11" s="385"/>
    </row>
    <row r="12" spans="1:34" ht="13.5" customHeight="1" x14ac:dyDescent="0.25">
      <c r="A12" s="397" t="s">
        <v>140</v>
      </c>
      <c r="B12" s="398">
        <f>B13</f>
        <v>0</v>
      </c>
      <c r="C12" s="398">
        <f t="shared" ref="C12:AE12" si="12">C13</f>
        <v>0</v>
      </c>
      <c r="D12" s="398">
        <f t="shared" si="12"/>
        <v>0</v>
      </c>
      <c r="E12" s="374">
        <f t="shared" si="12"/>
        <v>0</v>
      </c>
      <c r="F12" s="398">
        <f t="shared" si="12"/>
        <v>0</v>
      </c>
      <c r="G12" s="398">
        <f t="shared" si="12"/>
        <v>0</v>
      </c>
      <c r="H12" s="398">
        <f t="shared" si="12"/>
        <v>0</v>
      </c>
      <c r="I12" s="398">
        <f t="shared" si="12"/>
        <v>0</v>
      </c>
      <c r="J12" s="398">
        <f t="shared" si="12"/>
        <v>0</v>
      </c>
      <c r="K12" s="398">
        <f t="shared" si="12"/>
        <v>0</v>
      </c>
      <c r="L12" s="398">
        <f t="shared" si="12"/>
        <v>0</v>
      </c>
      <c r="M12" s="398">
        <f t="shared" si="12"/>
        <v>0</v>
      </c>
      <c r="N12" s="398">
        <f t="shared" si="12"/>
        <v>0</v>
      </c>
      <c r="O12" s="398">
        <f t="shared" si="12"/>
        <v>0</v>
      </c>
      <c r="P12" s="398">
        <f t="shared" si="12"/>
        <v>0</v>
      </c>
      <c r="Q12" s="398">
        <f t="shared" si="12"/>
        <v>1160437</v>
      </c>
      <c r="R12" s="374">
        <f t="shared" si="12"/>
        <v>1160437</v>
      </c>
      <c r="S12" s="398">
        <f t="shared" si="12"/>
        <v>0</v>
      </c>
      <c r="T12" s="398">
        <f t="shared" si="12"/>
        <v>0</v>
      </c>
      <c r="U12" s="398">
        <f t="shared" si="12"/>
        <v>0</v>
      </c>
      <c r="V12" s="398">
        <f t="shared" si="12"/>
        <v>0</v>
      </c>
      <c r="W12" s="398">
        <f t="shared" si="12"/>
        <v>0</v>
      </c>
      <c r="X12" s="398">
        <f t="shared" si="12"/>
        <v>0</v>
      </c>
      <c r="Y12" s="398">
        <f t="shared" si="12"/>
        <v>0</v>
      </c>
      <c r="Z12" s="398">
        <f t="shared" si="12"/>
        <v>0</v>
      </c>
      <c r="AA12" s="398">
        <f t="shared" si="12"/>
        <v>0</v>
      </c>
      <c r="AB12" s="398">
        <f t="shared" si="12"/>
        <v>0</v>
      </c>
      <c r="AC12" s="398">
        <f t="shared" si="12"/>
        <v>0</v>
      </c>
      <c r="AD12" s="398">
        <f t="shared" si="12"/>
        <v>0</v>
      </c>
      <c r="AE12" s="374">
        <f t="shared" si="12"/>
        <v>0</v>
      </c>
      <c r="AF12" s="374">
        <f t="shared" si="8"/>
        <v>1160437</v>
      </c>
      <c r="AG12" s="379">
        <f>AF13</f>
        <v>1160437</v>
      </c>
      <c r="AH12" s="380"/>
    </row>
    <row r="13" spans="1:34" ht="13.5" customHeight="1" x14ac:dyDescent="0.25">
      <c r="A13" s="399" t="s">
        <v>54</v>
      </c>
      <c r="B13" s="400"/>
      <c r="C13" s="400"/>
      <c r="D13" s="400"/>
      <c r="E13" s="383">
        <f t="shared" si="11"/>
        <v>0</v>
      </c>
      <c r="F13" s="400"/>
      <c r="G13" s="400"/>
      <c r="H13" s="400"/>
      <c r="I13" s="400"/>
      <c r="J13" s="400"/>
      <c r="K13" s="400"/>
      <c r="L13" s="400"/>
      <c r="M13" s="400"/>
      <c r="N13" s="400"/>
      <c r="O13" s="400"/>
      <c r="P13" s="400"/>
      <c r="Q13" s="400">
        <v>1160437</v>
      </c>
      <c r="R13" s="383">
        <f t="shared" si="6"/>
        <v>1160437</v>
      </c>
      <c r="S13" s="400"/>
      <c r="T13" s="400"/>
      <c r="U13" s="400"/>
      <c r="V13" s="400"/>
      <c r="W13" s="400"/>
      <c r="X13" s="400"/>
      <c r="Y13" s="400"/>
      <c r="Z13" s="400"/>
      <c r="AA13" s="400"/>
      <c r="AB13" s="400"/>
      <c r="AC13" s="400"/>
      <c r="AD13" s="400"/>
      <c r="AE13" s="383">
        <f t="shared" si="7"/>
        <v>0</v>
      </c>
      <c r="AF13" s="383">
        <f t="shared" si="8"/>
        <v>1160437</v>
      </c>
      <c r="AG13" s="384"/>
      <c r="AH13" s="385"/>
    </row>
    <row r="14" spans="1:34" ht="13.5" customHeight="1" x14ac:dyDescent="0.25">
      <c r="A14" s="401" t="s">
        <v>182</v>
      </c>
      <c r="B14" s="402">
        <f t="shared" ref="B14:D14" si="13">B20+B15+B16+B17+B18+B19</f>
        <v>120268.56</v>
      </c>
      <c r="C14" s="402">
        <f t="shared" si="13"/>
        <v>180402.84</v>
      </c>
      <c r="D14" s="402">
        <f t="shared" si="13"/>
        <v>0</v>
      </c>
      <c r="E14" s="403">
        <f t="shared" si="11"/>
        <v>300671.40000000002</v>
      </c>
      <c r="F14" s="402">
        <f t="shared" ref="F14:N14" si="14">F20+F15+F16+F17+F18+F19</f>
        <v>0</v>
      </c>
      <c r="G14" s="402">
        <f t="shared" si="14"/>
        <v>0</v>
      </c>
      <c r="H14" s="402">
        <f t="shared" si="14"/>
        <v>0</v>
      </c>
      <c r="I14" s="402">
        <f t="shared" si="14"/>
        <v>0</v>
      </c>
      <c r="J14" s="402">
        <f t="shared" si="14"/>
        <v>0</v>
      </c>
      <c r="K14" s="402">
        <f t="shared" si="14"/>
        <v>2283333</v>
      </c>
      <c r="L14" s="402">
        <f t="shared" si="14"/>
        <v>740000</v>
      </c>
      <c r="M14" s="402">
        <f t="shared" si="14"/>
        <v>0</v>
      </c>
      <c r="N14" s="402">
        <f t="shared" si="14"/>
        <v>-190000</v>
      </c>
      <c r="O14" s="402">
        <f>O15+O16+O17+O18+O19</f>
        <v>0</v>
      </c>
      <c r="P14" s="402">
        <f t="shared" ref="P14:AE14" si="15">P15+P16+P17+P18+P19</f>
        <v>0</v>
      </c>
      <c r="Q14" s="402">
        <f t="shared" si="15"/>
        <v>0</v>
      </c>
      <c r="R14" s="403">
        <f t="shared" si="15"/>
        <v>2833333</v>
      </c>
      <c r="S14" s="402">
        <f t="shared" si="15"/>
        <v>0</v>
      </c>
      <c r="T14" s="402">
        <f t="shared" si="15"/>
        <v>0</v>
      </c>
      <c r="U14" s="402">
        <f t="shared" si="15"/>
        <v>0</v>
      </c>
      <c r="V14" s="402">
        <f t="shared" si="15"/>
        <v>0</v>
      </c>
      <c r="W14" s="402">
        <f t="shared" si="15"/>
        <v>0</v>
      </c>
      <c r="X14" s="402">
        <f t="shared" si="15"/>
        <v>0</v>
      </c>
      <c r="Y14" s="402">
        <f t="shared" si="15"/>
        <v>0</v>
      </c>
      <c r="Z14" s="402">
        <f t="shared" si="15"/>
        <v>0</v>
      </c>
      <c r="AA14" s="402">
        <f t="shared" si="15"/>
        <v>0</v>
      </c>
      <c r="AB14" s="402">
        <f t="shared" si="15"/>
        <v>0</v>
      </c>
      <c r="AC14" s="402">
        <f t="shared" si="15"/>
        <v>0</v>
      </c>
      <c r="AD14" s="402">
        <f t="shared" si="15"/>
        <v>0</v>
      </c>
      <c r="AE14" s="403">
        <f t="shared" si="15"/>
        <v>0</v>
      </c>
      <c r="AF14" s="403">
        <f t="shared" si="8"/>
        <v>3134004.4</v>
      </c>
      <c r="AG14" s="379"/>
      <c r="AH14" s="380"/>
    </row>
    <row r="15" spans="1:34" ht="13.5" customHeight="1" x14ac:dyDescent="0.25">
      <c r="A15" s="404" t="s">
        <v>183</v>
      </c>
      <c r="B15" s="405">
        <v>120268.56</v>
      </c>
      <c r="C15" s="405">
        <v>180402.84</v>
      </c>
      <c r="D15" s="405"/>
      <c r="E15" s="383">
        <f t="shared" si="11"/>
        <v>300671.40000000002</v>
      </c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383">
        <f t="shared" si="6"/>
        <v>0</v>
      </c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05"/>
      <c r="AE15" s="383">
        <f t="shared" si="7"/>
        <v>0</v>
      </c>
      <c r="AF15" s="383">
        <f t="shared" si="8"/>
        <v>300671.40000000002</v>
      </c>
      <c r="AG15" s="384"/>
      <c r="AH15" s="385"/>
    </row>
    <row r="16" spans="1:34" ht="13.5" customHeight="1" x14ac:dyDescent="0.25">
      <c r="A16" s="404" t="s">
        <v>184</v>
      </c>
      <c r="B16" s="405"/>
      <c r="C16" s="405"/>
      <c r="D16" s="405"/>
      <c r="E16" s="383">
        <f t="shared" si="11"/>
        <v>0</v>
      </c>
      <c r="F16" s="405"/>
      <c r="G16" s="405"/>
      <c r="H16" s="405"/>
      <c r="I16" s="405"/>
      <c r="J16" s="405"/>
      <c r="K16" s="405">
        <v>1783333</v>
      </c>
      <c r="L16" s="405"/>
      <c r="M16" s="405"/>
      <c r="N16" s="405"/>
      <c r="O16" s="405"/>
      <c r="P16" s="405"/>
      <c r="Q16" s="405"/>
      <c r="R16" s="383">
        <f t="shared" si="6"/>
        <v>1783333</v>
      </c>
      <c r="S16" s="405"/>
      <c r="T16" s="405"/>
      <c r="U16" s="405"/>
      <c r="V16" s="405"/>
      <c r="W16" s="405"/>
      <c r="X16" s="405"/>
      <c r="Y16" s="405"/>
      <c r="Z16" s="405"/>
      <c r="AA16" s="405"/>
      <c r="AB16" s="405"/>
      <c r="AC16" s="405"/>
      <c r="AD16" s="405"/>
      <c r="AE16" s="383">
        <f t="shared" si="7"/>
        <v>0</v>
      </c>
      <c r="AF16" s="383">
        <f t="shared" si="8"/>
        <v>1783333</v>
      </c>
      <c r="AG16" s="384"/>
      <c r="AH16" s="385"/>
    </row>
    <row r="17" spans="1:34" ht="13.5" customHeight="1" x14ac:dyDescent="0.25">
      <c r="A17" s="404" t="s">
        <v>185</v>
      </c>
      <c r="B17" s="405"/>
      <c r="C17" s="405"/>
      <c r="D17" s="405"/>
      <c r="E17" s="383">
        <f t="shared" si="11"/>
        <v>0</v>
      </c>
      <c r="F17" s="405"/>
      <c r="G17" s="405"/>
      <c r="H17" s="405"/>
      <c r="I17" s="405"/>
      <c r="J17" s="405"/>
      <c r="K17" s="405">
        <v>100000</v>
      </c>
      <c r="L17" s="405">
        <v>275000</v>
      </c>
      <c r="M17" s="405"/>
      <c r="N17" s="405">
        <v>75000</v>
      </c>
      <c r="O17" s="405"/>
      <c r="P17" s="405"/>
      <c r="Q17" s="405"/>
      <c r="R17" s="383">
        <f t="shared" si="6"/>
        <v>450000</v>
      </c>
      <c r="S17" s="405"/>
      <c r="T17" s="405"/>
      <c r="U17" s="405"/>
      <c r="V17" s="405"/>
      <c r="W17" s="405"/>
      <c r="X17" s="405"/>
      <c r="Y17" s="405"/>
      <c r="Z17" s="405"/>
      <c r="AA17" s="405"/>
      <c r="AB17" s="405"/>
      <c r="AC17" s="405"/>
      <c r="AD17" s="405"/>
      <c r="AE17" s="383">
        <f t="shared" si="7"/>
        <v>0</v>
      </c>
      <c r="AF17" s="383">
        <f t="shared" si="8"/>
        <v>450000</v>
      </c>
      <c r="AG17" s="384"/>
      <c r="AH17" s="385"/>
    </row>
    <row r="18" spans="1:34" ht="13.5" customHeight="1" x14ac:dyDescent="0.25">
      <c r="A18" s="404" t="s">
        <v>186</v>
      </c>
      <c r="B18" s="405"/>
      <c r="C18" s="405"/>
      <c r="D18" s="405"/>
      <c r="E18" s="383">
        <f t="shared" si="11"/>
        <v>0</v>
      </c>
      <c r="F18" s="405"/>
      <c r="G18" s="405"/>
      <c r="H18" s="405"/>
      <c r="I18" s="405"/>
      <c r="J18" s="405"/>
      <c r="K18" s="405">
        <v>100000</v>
      </c>
      <c r="L18" s="405">
        <v>275000</v>
      </c>
      <c r="M18" s="405"/>
      <c r="N18" s="405">
        <v>75000</v>
      </c>
      <c r="O18" s="405"/>
      <c r="P18" s="405"/>
      <c r="Q18" s="405"/>
      <c r="R18" s="383">
        <f t="shared" si="6"/>
        <v>450000</v>
      </c>
      <c r="S18" s="405"/>
      <c r="T18" s="405"/>
      <c r="U18" s="405"/>
      <c r="V18" s="405"/>
      <c r="W18" s="405"/>
      <c r="X18" s="405"/>
      <c r="Y18" s="405"/>
      <c r="Z18" s="405"/>
      <c r="AA18" s="405"/>
      <c r="AB18" s="405"/>
      <c r="AC18" s="405"/>
      <c r="AD18" s="405"/>
      <c r="AE18" s="383">
        <f t="shared" si="7"/>
        <v>0</v>
      </c>
      <c r="AF18" s="383">
        <f t="shared" si="8"/>
        <v>450000</v>
      </c>
      <c r="AG18" s="384"/>
      <c r="AH18" s="385"/>
    </row>
    <row r="19" spans="1:34" ht="13.5" customHeight="1" x14ac:dyDescent="0.25">
      <c r="A19" s="404" t="s">
        <v>187</v>
      </c>
      <c r="B19" s="405"/>
      <c r="C19" s="405"/>
      <c r="D19" s="405"/>
      <c r="E19" s="383">
        <f t="shared" si="11"/>
        <v>0</v>
      </c>
      <c r="F19" s="405"/>
      <c r="G19" s="405"/>
      <c r="H19" s="405"/>
      <c r="I19" s="405"/>
      <c r="J19" s="405"/>
      <c r="K19" s="405">
        <v>75000</v>
      </c>
      <c r="L19" s="405"/>
      <c r="M19" s="405"/>
      <c r="N19" s="405">
        <v>75000</v>
      </c>
      <c r="O19" s="405"/>
      <c r="P19" s="405"/>
      <c r="Q19" s="405"/>
      <c r="R19" s="383">
        <f t="shared" si="6"/>
        <v>150000</v>
      </c>
      <c r="S19" s="405"/>
      <c r="T19" s="405"/>
      <c r="U19" s="405"/>
      <c r="V19" s="405"/>
      <c r="W19" s="405"/>
      <c r="X19" s="405"/>
      <c r="Y19" s="405"/>
      <c r="Z19" s="405"/>
      <c r="AA19" s="405"/>
      <c r="AB19" s="405"/>
      <c r="AC19" s="405"/>
      <c r="AD19" s="405"/>
      <c r="AE19" s="383">
        <f t="shared" si="7"/>
        <v>0</v>
      </c>
      <c r="AF19" s="383">
        <f t="shared" si="8"/>
        <v>150000</v>
      </c>
      <c r="AG19" s="384"/>
      <c r="AH19" s="385"/>
    </row>
    <row r="20" spans="1:34" ht="13.5" customHeight="1" x14ac:dyDescent="0.25">
      <c r="A20" s="404" t="s">
        <v>188</v>
      </c>
      <c r="B20" s="405"/>
      <c r="C20" s="405"/>
      <c r="D20" s="405"/>
      <c r="E20" s="383">
        <f t="shared" si="11"/>
        <v>0</v>
      </c>
      <c r="F20" s="405"/>
      <c r="G20" s="405"/>
      <c r="H20" s="405"/>
      <c r="I20" s="405"/>
      <c r="J20" s="405"/>
      <c r="K20" s="405">
        <f>L40/1.2</f>
        <v>225000</v>
      </c>
      <c r="L20" s="405">
        <f>M40/1.2</f>
        <v>190000</v>
      </c>
      <c r="M20" s="405"/>
      <c r="N20" s="405">
        <f>-L20-K20</f>
        <v>-415000</v>
      </c>
      <c r="O20" s="405"/>
      <c r="P20" s="405"/>
      <c r="Q20" s="405"/>
      <c r="R20" s="383">
        <f t="shared" si="6"/>
        <v>0</v>
      </c>
      <c r="S20" s="405"/>
      <c r="T20" s="405"/>
      <c r="U20" s="405"/>
      <c r="V20" s="405"/>
      <c r="W20" s="405"/>
      <c r="X20" s="405"/>
      <c r="Y20" s="405"/>
      <c r="Z20" s="405"/>
      <c r="AA20" s="405"/>
      <c r="AB20" s="405"/>
      <c r="AC20" s="405"/>
      <c r="AD20" s="405"/>
      <c r="AE20" s="383">
        <f t="shared" si="7"/>
        <v>0</v>
      </c>
      <c r="AF20" s="383">
        <f t="shared" si="8"/>
        <v>0</v>
      </c>
      <c r="AG20" s="384"/>
      <c r="AH20" s="385"/>
    </row>
    <row r="21" spans="1:34" ht="13.5" customHeight="1" x14ac:dyDescent="0.25">
      <c r="A21" s="401" t="s">
        <v>182</v>
      </c>
      <c r="B21" s="402">
        <f>B22</f>
        <v>0</v>
      </c>
      <c r="C21" s="402">
        <f t="shared" ref="C21:D21" si="16">C22</f>
        <v>0</v>
      </c>
      <c r="D21" s="402">
        <f t="shared" si="16"/>
        <v>0</v>
      </c>
      <c r="E21" s="374">
        <f>B21+C21+D21</f>
        <v>0</v>
      </c>
      <c r="F21" s="402">
        <f>F22</f>
        <v>0</v>
      </c>
      <c r="G21" s="402">
        <f t="shared" ref="G21:Q21" si="17">G22</f>
        <v>0</v>
      </c>
      <c r="H21" s="402">
        <f t="shared" si="17"/>
        <v>0</v>
      </c>
      <c r="I21" s="402">
        <f t="shared" si="17"/>
        <v>0</v>
      </c>
      <c r="J21" s="402">
        <f t="shared" si="17"/>
        <v>378785</v>
      </c>
      <c r="K21" s="402">
        <f t="shared" si="17"/>
        <v>0</v>
      </c>
      <c r="L21" s="402">
        <f t="shared" si="17"/>
        <v>213400</v>
      </c>
      <c r="M21" s="402">
        <f t="shared" si="17"/>
        <v>0</v>
      </c>
      <c r="N21" s="402">
        <f t="shared" si="17"/>
        <v>82692.5</v>
      </c>
      <c r="O21" s="402">
        <f t="shared" si="17"/>
        <v>0</v>
      </c>
      <c r="P21" s="402">
        <f t="shared" si="17"/>
        <v>129160</v>
      </c>
      <c r="Q21" s="402">
        <f t="shared" si="17"/>
        <v>0</v>
      </c>
      <c r="R21" s="374">
        <f>F21+G21+H21+I21+J21+K21+L21+M21+N21+O21+P21+Q21</f>
        <v>804037.5</v>
      </c>
      <c r="S21" s="402">
        <f t="shared" ref="S21:AD21" si="18">S22</f>
        <v>0</v>
      </c>
      <c r="T21" s="402">
        <f t="shared" si="18"/>
        <v>0</v>
      </c>
      <c r="U21" s="402">
        <f t="shared" si="18"/>
        <v>0</v>
      </c>
      <c r="V21" s="402">
        <f t="shared" si="18"/>
        <v>0</v>
      </c>
      <c r="W21" s="402">
        <f t="shared" si="18"/>
        <v>0</v>
      </c>
      <c r="X21" s="402">
        <f t="shared" si="18"/>
        <v>0</v>
      </c>
      <c r="Y21" s="402">
        <f t="shared" si="18"/>
        <v>0</v>
      </c>
      <c r="Z21" s="402">
        <f t="shared" si="18"/>
        <v>0</v>
      </c>
      <c r="AA21" s="402">
        <f t="shared" si="18"/>
        <v>0</v>
      </c>
      <c r="AB21" s="402">
        <f t="shared" si="18"/>
        <v>0</v>
      </c>
      <c r="AC21" s="402">
        <f t="shared" si="18"/>
        <v>51812.5</v>
      </c>
      <c r="AD21" s="402">
        <f t="shared" si="18"/>
        <v>0</v>
      </c>
      <c r="AE21" s="374">
        <f>S21+T21+U21+V21+W21+X21+Y21+Z21+AA21+AB21+AC21+AD21</f>
        <v>51812.5</v>
      </c>
      <c r="AF21" s="374">
        <f t="shared" si="8"/>
        <v>855850</v>
      </c>
      <c r="AG21" s="379"/>
      <c r="AH21" s="380"/>
    </row>
    <row r="22" spans="1:34" ht="13.5" customHeight="1" x14ac:dyDescent="0.25">
      <c r="A22" s="404" t="s">
        <v>127</v>
      </c>
      <c r="B22" s="405"/>
      <c r="C22" s="405"/>
      <c r="D22" s="405"/>
      <c r="E22" s="383">
        <f>B22+C22+D22</f>
        <v>0</v>
      </c>
      <c r="F22" s="405"/>
      <c r="G22" s="405"/>
      <c r="H22" s="405"/>
      <c r="I22" s="405"/>
      <c r="J22" s="405">
        <v>378785</v>
      </c>
      <c r="K22" s="405"/>
      <c r="L22" s="405">
        <v>213400</v>
      </c>
      <c r="M22" s="405"/>
      <c r="N22" s="405">
        <v>82692.5</v>
      </c>
      <c r="O22" s="405"/>
      <c r="P22" s="405">
        <v>129160</v>
      </c>
      <c r="Q22" s="405"/>
      <c r="R22" s="383">
        <f>F22+G22+H22+I22+J22+K22+L22+M22+N22+O22+P22+Q22</f>
        <v>804037.5</v>
      </c>
      <c r="S22" s="405"/>
      <c r="T22" s="405"/>
      <c r="U22" s="405"/>
      <c r="V22" s="405"/>
      <c r="W22" s="405"/>
      <c r="X22" s="405"/>
      <c r="Y22" s="405"/>
      <c r="Z22" s="405"/>
      <c r="AA22" s="405"/>
      <c r="AB22" s="405"/>
      <c r="AC22" s="405">
        <v>51812.5</v>
      </c>
      <c r="AD22" s="405"/>
      <c r="AE22" s="383">
        <f>S22+T22+U22+V22+W22+X22+Y22+Z22+AA22+AB22+AC22+AD22</f>
        <v>51812.5</v>
      </c>
      <c r="AF22" s="383">
        <f t="shared" si="8"/>
        <v>855850</v>
      </c>
      <c r="AG22" s="384"/>
      <c r="AH22" s="385"/>
    </row>
    <row r="23" spans="1:34" ht="13.5" customHeight="1" x14ac:dyDescent="0.25">
      <c r="A23" s="422" t="s">
        <v>194</v>
      </c>
      <c r="B23" s="406"/>
      <c r="C23" s="406"/>
      <c r="D23" s="406"/>
      <c r="E23" s="383">
        <f t="shared" si="11"/>
        <v>0</v>
      </c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383">
        <f t="shared" si="6"/>
        <v>0</v>
      </c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406"/>
      <c r="AD23" s="406"/>
      <c r="AE23" s="383">
        <f t="shared" si="7"/>
        <v>0</v>
      </c>
      <c r="AF23" s="383">
        <f t="shared" si="8"/>
        <v>0</v>
      </c>
      <c r="AG23" s="384"/>
      <c r="AH23" s="385"/>
    </row>
    <row r="24" spans="1:34" ht="13.5" customHeight="1" x14ac:dyDescent="0.25">
      <c r="A24" s="365" t="s">
        <v>176</v>
      </c>
      <c r="B24" s="373">
        <f>B29+B32+B34+B25+B28</f>
        <v>0</v>
      </c>
      <c r="C24" s="373">
        <f>C29+C32+C34+C25+C28</f>
        <v>354792.26</v>
      </c>
      <c r="D24" s="373">
        <f>D29+D32+D34+D25+D28</f>
        <v>0</v>
      </c>
      <c r="E24" s="374">
        <f>B24+C24+D24</f>
        <v>354792.26</v>
      </c>
      <c r="F24" s="373">
        <f t="shared" ref="F24:Q24" si="19">F29+F32+F34+F25+F28</f>
        <v>0</v>
      </c>
      <c r="G24" s="373">
        <f t="shared" si="19"/>
        <v>0</v>
      </c>
      <c r="H24" s="373">
        <f t="shared" si="19"/>
        <v>0</v>
      </c>
      <c r="I24" s="373">
        <f t="shared" si="19"/>
        <v>0</v>
      </c>
      <c r="J24" s="373">
        <f t="shared" si="19"/>
        <v>60271838.399999999</v>
      </c>
      <c r="K24" s="373">
        <f t="shared" si="19"/>
        <v>0</v>
      </c>
      <c r="L24" s="373">
        <f t="shared" si="19"/>
        <v>2739999.6</v>
      </c>
      <c r="M24" s="373">
        <f t="shared" si="19"/>
        <v>63335592.420000002</v>
      </c>
      <c r="N24" s="373">
        <f t="shared" si="19"/>
        <v>-498000</v>
      </c>
      <c r="O24" s="373">
        <f t="shared" si="19"/>
        <v>55564967.420000002</v>
      </c>
      <c r="P24" s="373">
        <f t="shared" si="19"/>
        <v>41010867.240000002</v>
      </c>
      <c r="Q24" s="373">
        <f t="shared" si="19"/>
        <v>3531818.39</v>
      </c>
      <c r="R24" s="374">
        <f>F24+G24+H24+I24+J24+K24+L24+M24+N24+O24+P24+Q24</f>
        <v>225957083.47</v>
      </c>
      <c r="S24" s="373">
        <f t="shared" ref="S24:AD24" si="20">S29+S32+S34+S25+S28</f>
        <v>33478297.399999999</v>
      </c>
      <c r="T24" s="373">
        <f t="shared" si="20"/>
        <v>13626908.99</v>
      </c>
      <c r="U24" s="373">
        <f t="shared" si="20"/>
        <v>67438650.920000002</v>
      </c>
      <c r="V24" s="373">
        <f t="shared" si="20"/>
        <v>45979427.780000001</v>
      </c>
      <c r="W24" s="373">
        <f t="shared" si="20"/>
        <v>17291427.579999998</v>
      </c>
      <c r="X24" s="373">
        <f t="shared" si="20"/>
        <v>2239738.56</v>
      </c>
      <c r="Y24" s="373">
        <f t="shared" si="20"/>
        <v>8331454.2599999998</v>
      </c>
      <c r="Z24" s="373">
        <f t="shared" si="20"/>
        <v>26960074.379999999</v>
      </c>
      <c r="AA24" s="373">
        <f t="shared" si="20"/>
        <v>0</v>
      </c>
      <c r="AB24" s="373">
        <f t="shared" si="20"/>
        <v>159414.204</v>
      </c>
      <c r="AC24" s="373">
        <f t="shared" si="20"/>
        <v>0</v>
      </c>
      <c r="AD24" s="373">
        <f t="shared" si="20"/>
        <v>0</v>
      </c>
      <c r="AE24" s="374">
        <f>S24+T24+U24+V24+W24+X24+Y24+Z24+AA24+AB24+AC24+AD24</f>
        <v>215505394.074</v>
      </c>
      <c r="AF24" s="373">
        <f>AF29+AF32+AF34+AF25+AF28</f>
        <v>441817269.80400002</v>
      </c>
      <c r="AG24" s="375">
        <f>AG29+AG32+AG34+AG25+AG28</f>
        <v>495040969.83599991</v>
      </c>
      <c r="AH24" s="376">
        <f t="shared" ref="AH24:AH42" si="21">AG24-AF24</f>
        <v>53223700.031999886</v>
      </c>
    </row>
    <row r="25" spans="1:34" ht="13.5" customHeight="1" x14ac:dyDescent="0.25">
      <c r="A25" s="377" t="s">
        <v>177</v>
      </c>
      <c r="B25" s="378">
        <f>B26</f>
        <v>0</v>
      </c>
      <c r="C25" s="378">
        <f t="shared" ref="C25:D25" si="22">C26</f>
        <v>0</v>
      </c>
      <c r="D25" s="378">
        <f t="shared" si="22"/>
        <v>0</v>
      </c>
      <c r="E25" s="374">
        <f>B25+C25+D25</f>
        <v>0</v>
      </c>
      <c r="F25" s="378">
        <f>F26</f>
        <v>0</v>
      </c>
      <c r="G25" s="378">
        <f t="shared" ref="G25:Q25" si="23">G26</f>
        <v>0</v>
      </c>
      <c r="H25" s="378">
        <f t="shared" si="23"/>
        <v>0</v>
      </c>
      <c r="I25" s="378">
        <f t="shared" si="23"/>
        <v>0</v>
      </c>
      <c r="J25" s="378">
        <f t="shared" si="23"/>
        <v>60271838.399999999</v>
      </c>
      <c r="K25" s="378">
        <f t="shared" si="23"/>
        <v>0</v>
      </c>
      <c r="L25" s="378">
        <f t="shared" si="23"/>
        <v>0</v>
      </c>
      <c r="M25" s="378">
        <f t="shared" si="23"/>
        <v>0</v>
      </c>
      <c r="N25" s="378">
        <f t="shared" si="23"/>
        <v>0</v>
      </c>
      <c r="O25" s="378">
        <f t="shared" si="23"/>
        <v>0</v>
      </c>
      <c r="P25" s="378">
        <f t="shared" si="23"/>
        <v>0</v>
      </c>
      <c r="Q25" s="378">
        <f t="shared" si="23"/>
        <v>0</v>
      </c>
      <c r="R25" s="374">
        <f>F25+G25+H25+I25+J25+K25+L25+M25+N25+O25+P25+Q25</f>
        <v>60271838.399999999</v>
      </c>
      <c r="S25" s="378">
        <f t="shared" ref="S25:AD25" si="24">S26</f>
        <v>0</v>
      </c>
      <c r="T25" s="378">
        <f t="shared" si="24"/>
        <v>0</v>
      </c>
      <c r="U25" s="378">
        <f t="shared" si="24"/>
        <v>0</v>
      </c>
      <c r="V25" s="378">
        <f t="shared" si="24"/>
        <v>0</v>
      </c>
      <c r="W25" s="378">
        <f t="shared" si="24"/>
        <v>0</v>
      </c>
      <c r="X25" s="378">
        <f t="shared" si="24"/>
        <v>0</v>
      </c>
      <c r="Y25" s="378">
        <f t="shared" si="24"/>
        <v>0</v>
      </c>
      <c r="Z25" s="378">
        <f t="shared" si="24"/>
        <v>0</v>
      </c>
      <c r="AA25" s="378">
        <f t="shared" si="24"/>
        <v>0</v>
      </c>
      <c r="AB25" s="378">
        <f t="shared" si="24"/>
        <v>0</v>
      </c>
      <c r="AC25" s="378">
        <f t="shared" si="24"/>
        <v>0</v>
      </c>
      <c r="AD25" s="378">
        <f t="shared" si="24"/>
        <v>0</v>
      </c>
      <c r="AE25" s="374">
        <f>S25+T25+U25+V25+W25+X25+Y25+Z25+AA25+AB25+AC25+AD25</f>
        <v>0</v>
      </c>
      <c r="AF25" s="374">
        <f>E25+R25+AE25</f>
        <v>60271838.399999999</v>
      </c>
      <c r="AG25" s="379">
        <f>AG26</f>
        <v>60271838.399999999</v>
      </c>
      <c r="AH25" s="380">
        <f t="shared" si="21"/>
        <v>0</v>
      </c>
    </row>
    <row r="26" spans="1:34" ht="13.5" customHeight="1" x14ac:dyDescent="0.25">
      <c r="A26" s="381" t="s">
        <v>141</v>
      </c>
      <c r="B26" s="382"/>
      <c r="C26" s="382"/>
      <c r="D26" s="382"/>
      <c r="E26" s="383">
        <f>B26+C26+D26</f>
        <v>0</v>
      </c>
      <c r="F26" s="382"/>
      <c r="G26" s="382"/>
      <c r="H26" s="382"/>
      <c r="I26" s="382"/>
      <c r="J26" s="382">
        <v>60271838.399999999</v>
      </c>
      <c r="K26" s="382"/>
      <c r="L26" s="382"/>
      <c r="M26" s="382"/>
      <c r="N26" s="382"/>
      <c r="O26" s="382"/>
      <c r="P26" s="382"/>
      <c r="Q26" s="382"/>
      <c r="R26" s="383">
        <f>F26+G26+H26+I26+J26+K26+L26+M26+N26+O26+P26+Q26</f>
        <v>60271838.399999999</v>
      </c>
      <c r="S26" s="382"/>
      <c r="T26" s="382"/>
      <c r="U26" s="382"/>
      <c r="V26" s="382"/>
      <c r="W26" s="382"/>
      <c r="X26" s="382"/>
      <c r="Y26" s="382"/>
      <c r="Z26" s="382"/>
      <c r="AA26" s="382"/>
      <c r="AB26" s="382"/>
      <c r="AC26" s="382"/>
      <c r="AD26" s="382"/>
      <c r="AE26" s="383">
        <f>S26+T26+U26+V26+W26+X26+Y26+Z26+AA26+AB26+AC26+AD26</f>
        <v>0</v>
      </c>
      <c r="AF26" s="383">
        <f>E26+R26+AE26</f>
        <v>60271838.399999999</v>
      </c>
      <c r="AG26" s="384">
        <f>AF5*1.2</f>
        <v>60271838.399999999</v>
      </c>
      <c r="AH26" s="385">
        <f t="shared" si="21"/>
        <v>0</v>
      </c>
    </row>
    <row r="27" spans="1:34" ht="13.5" customHeight="1" x14ac:dyDescent="0.25">
      <c r="A27" s="386" t="s">
        <v>179</v>
      </c>
      <c r="B27" s="387">
        <f t="shared" ref="B27:AE27" si="25">B28</f>
        <v>0</v>
      </c>
      <c r="C27" s="387">
        <f t="shared" si="25"/>
        <v>0</v>
      </c>
      <c r="D27" s="387">
        <f t="shared" si="25"/>
        <v>0</v>
      </c>
      <c r="E27" s="374">
        <f t="shared" si="25"/>
        <v>0</v>
      </c>
      <c r="F27" s="387">
        <f t="shared" si="25"/>
        <v>0</v>
      </c>
      <c r="G27" s="387">
        <f t="shared" si="25"/>
        <v>0</v>
      </c>
      <c r="H27" s="387">
        <f t="shared" si="25"/>
        <v>0</v>
      </c>
      <c r="I27" s="387">
        <f t="shared" si="25"/>
        <v>0</v>
      </c>
      <c r="J27" s="387">
        <f t="shared" si="25"/>
        <v>0</v>
      </c>
      <c r="K27" s="387">
        <f t="shared" si="25"/>
        <v>0</v>
      </c>
      <c r="L27" s="387">
        <f t="shared" si="25"/>
        <v>0</v>
      </c>
      <c r="M27" s="387">
        <f t="shared" si="25"/>
        <v>0</v>
      </c>
      <c r="N27" s="387">
        <f t="shared" si="25"/>
        <v>0</v>
      </c>
      <c r="O27" s="387">
        <f t="shared" si="25"/>
        <v>0</v>
      </c>
      <c r="P27" s="387">
        <f t="shared" si="25"/>
        <v>0</v>
      </c>
      <c r="Q27" s="387">
        <f t="shared" si="25"/>
        <v>0</v>
      </c>
      <c r="R27" s="374">
        <f t="shared" si="25"/>
        <v>0</v>
      </c>
      <c r="S27" s="387">
        <f t="shared" si="25"/>
        <v>0</v>
      </c>
      <c r="T27" s="387">
        <f t="shared" si="25"/>
        <v>0</v>
      </c>
      <c r="U27" s="387">
        <f t="shared" si="25"/>
        <v>0</v>
      </c>
      <c r="V27" s="387">
        <f t="shared" si="25"/>
        <v>0</v>
      </c>
      <c r="W27" s="387">
        <f t="shared" si="25"/>
        <v>0</v>
      </c>
      <c r="X27" s="387">
        <f t="shared" si="25"/>
        <v>0</v>
      </c>
      <c r="Y27" s="387">
        <f t="shared" si="25"/>
        <v>0</v>
      </c>
      <c r="Z27" s="387">
        <f t="shared" si="25"/>
        <v>0</v>
      </c>
      <c r="AA27" s="387">
        <f t="shared" si="25"/>
        <v>0</v>
      </c>
      <c r="AB27" s="387">
        <f t="shared" si="25"/>
        <v>159414.204</v>
      </c>
      <c r="AC27" s="387">
        <f t="shared" si="25"/>
        <v>0</v>
      </c>
      <c r="AD27" s="387">
        <f t="shared" si="25"/>
        <v>0</v>
      </c>
      <c r="AE27" s="374">
        <f t="shared" si="25"/>
        <v>159414.204</v>
      </c>
      <c r="AF27" s="374">
        <f>AF28</f>
        <v>159414.204</v>
      </c>
      <c r="AG27" s="379">
        <f>AG28</f>
        <v>159414.204</v>
      </c>
      <c r="AH27" s="380">
        <f t="shared" si="21"/>
        <v>0</v>
      </c>
    </row>
    <row r="28" spans="1:34" s="393" customFormat="1" ht="13.5" customHeight="1" x14ac:dyDescent="0.25">
      <c r="A28" s="388" t="s">
        <v>179</v>
      </c>
      <c r="B28" s="389"/>
      <c r="C28" s="389"/>
      <c r="D28" s="389"/>
      <c r="E28" s="383">
        <f t="shared" ref="E28" si="26">B28+C28+D28</f>
        <v>0</v>
      </c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3">
        <f t="shared" ref="R28" si="27">F28+G28+H28+I28+J28+K28+L28+M28+N28+O28+P28+Q28</f>
        <v>0</v>
      </c>
      <c r="S28" s="389"/>
      <c r="T28" s="389"/>
      <c r="U28" s="389"/>
      <c r="V28" s="389"/>
      <c r="W28" s="389"/>
      <c r="X28" s="389"/>
      <c r="Y28" s="389"/>
      <c r="Z28" s="389"/>
      <c r="AA28" s="389"/>
      <c r="AB28" s="389">
        <v>159414.204</v>
      </c>
      <c r="AC28" s="389"/>
      <c r="AD28" s="389"/>
      <c r="AE28" s="383">
        <f t="shared" ref="AE28" si="28">S28+T28+U28+V28+W28+X28+Y28+Z28+AA28+AB28+AC28+AD28</f>
        <v>159414.204</v>
      </c>
      <c r="AF28" s="390">
        <f t="shared" ref="AF28:AF42" si="29">E28+R28+AE28</f>
        <v>159414.204</v>
      </c>
      <c r="AG28" s="391">
        <f>AF8*1.2</f>
        <v>159414.204</v>
      </c>
      <c r="AH28" s="392">
        <f t="shared" si="21"/>
        <v>0</v>
      </c>
    </row>
    <row r="29" spans="1:34" ht="13.5" customHeight="1" x14ac:dyDescent="0.25">
      <c r="A29" s="394" t="s">
        <v>180</v>
      </c>
      <c r="B29" s="395">
        <f>B30+0+0+B31+0</f>
        <v>0</v>
      </c>
      <c r="C29" s="395">
        <f>C30+0+0+C31+0</f>
        <v>0</v>
      </c>
      <c r="D29" s="395">
        <f>D30+0+0+D31+0</f>
        <v>0</v>
      </c>
      <c r="E29" s="374">
        <f t="shared" si="11"/>
        <v>0</v>
      </c>
      <c r="F29" s="395">
        <f t="shared" ref="F29:Q29" si="30">F30+0+0+F31+0</f>
        <v>0</v>
      </c>
      <c r="G29" s="395">
        <f t="shared" si="30"/>
        <v>0</v>
      </c>
      <c r="H29" s="395">
        <f t="shared" si="30"/>
        <v>0</v>
      </c>
      <c r="I29" s="395">
        <f t="shared" si="30"/>
        <v>0</v>
      </c>
      <c r="J29" s="395">
        <f t="shared" si="30"/>
        <v>0</v>
      </c>
      <c r="K29" s="395">
        <f t="shared" si="30"/>
        <v>0</v>
      </c>
      <c r="L29" s="395">
        <f t="shared" si="30"/>
        <v>0</v>
      </c>
      <c r="M29" s="395">
        <f t="shared" si="30"/>
        <v>62447592.420000002</v>
      </c>
      <c r="N29" s="395">
        <f t="shared" si="30"/>
        <v>0</v>
      </c>
      <c r="O29" s="395">
        <f t="shared" si="30"/>
        <v>55294967.420000002</v>
      </c>
      <c r="P29" s="395">
        <f t="shared" si="30"/>
        <v>41010867.240000002</v>
      </c>
      <c r="Q29" s="395">
        <f t="shared" si="30"/>
        <v>2139293.9900000002</v>
      </c>
      <c r="R29" s="374">
        <f t="shared" si="6"/>
        <v>160892721.07000002</v>
      </c>
      <c r="S29" s="395">
        <f t="shared" ref="S29:AD29" si="31">S30+0+0+S31+0</f>
        <v>33478297.399999999</v>
      </c>
      <c r="T29" s="395">
        <f t="shared" si="31"/>
        <v>13626908.99</v>
      </c>
      <c r="U29" s="395">
        <f t="shared" si="31"/>
        <v>67438650.920000002</v>
      </c>
      <c r="V29" s="395">
        <f t="shared" si="31"/>
        <v>45979427.780000001</v>
      </c>
      <c r="W29" s="395">
        <f t="shared" si="31"/>
        <v>17291427.579999998</v>
      </c>
      <c r="X29" s="395">
        <f t="shared" si="31"/>
        <v>2239738.56</v>
      </c>
      <c r="Y29" s="395">
        <f t="shared" si="31"/>
        <v>8331454.2599999998</v>
      </c>
      <c r="Z29" s="395">
        <f t="shared" si="31"/>
        <v>26960074.379999999</v>
      </c>
      <c r="AA29" s="395">
        <f t="shared" si="31"/>
        <v>0</v>
      </c>
      <c r="AB29" s="395">
        <f t="shared" si="31"/>
        <v>0</v>
      </c>
      <c r="AC29" s="395">
        <f t="shared" si="31"/>
        <v>0</v>
      </c>
      <c r="AD29" s="395">
        <f t="shared" si="31"/>
        <v>0</v>
      </c>
      <c r="AE29" s="374">
        <f t="shared" si="7"/>
        <v>215345979.87</v>
      </c>
      <c r="AF29" s="374">
        <f t="shared" si="29"/>
        <v>376238700.94000006</v>
      </c>
      <c r="AG29" s="379">
        <f>(AG10+AG11)*1.2</f>
        <v>429462400.97999996</v>
      </c>
      <c r="AH29" s="380">
        <f t="shared" si="21"/>
        <v>53223700.039999902</v>
      </c>
    </row>
    <row r="30" spans="1:34" ht="13.5" customHeight="1" x14ac:dyDescent="0.25">
      <c r="A30" s="201" t="s">
        <v>181</v>
      </c>
      <c r="B30" s="396"/>
      <c r="C30" s="396"/>
      <c r="D30" s="396"/>
      <c r="E30" s="383">
        <f t="shared" si="11"/>
        <v>0</v>
      </c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>
        <v>2139293.9900000002</v>
      </c>
      <c r="R30" s="383">
        <f t="shared" si="6"/>
        <v>2139293.9900000002</v>
      </c>
      <c r="S30" s="396"/>
      <c r="T30" s="396"/>
      <c r="U30" s="396"/>
      <c r="V30" s="396"/>
      <c r="W30" s="396"/>
      <c r="X30" s="396"/>
      <c r="Y30" s="396"/>
      <c r="Z30" s="396"/>
      <c r="AA30" s="396"/>
      <c r="AB30" s="396"/>
      <c r="AC30" s="396"/>
      <c r="AD30" s="396"/>
      <c r="AE30" s="383">
        <f t="shared" si="7"/>
        <v>0</v>
      </c>
      <c r="AF30" s="383">
        <f t="shared" si="29"/>
        <v>2139293.9900000002</v>
      </c>
      <c r="AG30" s="384">
        <f>AF10*1.2</f>
        <v>2139293.9879999999</v>
      </c>
      <c r="AH30" s="385">
        <f t="shared" si="21"/>
        <v>-2.0000003278255463E-3</v>
      </c>
    </row>
    <row r="31" spans="1:34" ht="13.5" customHeight="1" x14ac:dyDescent="0.25">
      <c r="A31" s="201" t="s">
        <v>54</v>
      </c>
      <c r="B31" s="396"/>
      <c r="C31" s="396"/>
      <c r="D31" s="396"/>
      <c r="E31" s="383">
        <f t="shared" si="11"/>
        <v>0</v>
      </c>
      <c r="F31" s="396"/>
      <c r="G31" s="396"/>
      <c r="H31" s="396"/>
      <c r="I31" s="396"/>
      <c r="J31" s="396"/>
      <c r="K31" s="396"/>
      <c r="L31" s="396"/>
      <c r="M31" s="396">
        <v>62447592.420000002</v>
      </c>
      <c r="N31" s="396"/>
      <c r="O31" s="396">
        <v>55294967.420000002</v>
      </c>
      <c r="P31" s="396">
        <v>41010867.240000002</v>
      </c>
      <c r="Q31" s="396"/>
      <c r="R31" s="383">
        <f t="shared" si="6"/>
        <v>158753427.08000001</v>
      </c>
      <c r="S31" s="396">
        <v>33478297.399999999</v>
      </c>
      <c r="T31" s="396">
        <v>13626908.99</v>
      </c>
      <c r="U31" s="396">
        <v>67438650.920000002</v>
      </c>
      <c r="V31" s="396">
        <v>45979427.780000001</v>
      </c>
      <c r="W31" s="396">
        <v>17291427.579999998</v>
      </c>
      <c r="X31" s="396">
        <v>2239738.56</v>
      </c>
      <c r="Y31" s="396">
        <v>8331454.2599999998</v>
      </c>
      <c r="Z31" s="396">
        <v>26960074.379999999</v>
      </c>
      <c r="AA31" s="396"/>
      <c r="AB31" s="396"/>
      <c r="AC31" s="396"/>
      <c r="AD31" s="396"/>
      <c r="AE31" s="383">
        <f t="shared" si="7"/>
        <v>215345979.87</v>
      </c>
      <c r="AF31" s="383">
        <f t="shared" si="29"/>
        <v>374099406.95000005</v>
      </c>
      <c r="AG31" s="384">
        <f>AG11*1.2</f>
        <v>427323106.99199992</v>
      </c>
      <c r="AH31" s="385">
        <f t="shared" si="21"/>
        <v>53223700.041999876</v>
      </c>
    </row>
    <row r="32" spans="1:34" ht="13.5" customHeight="1" x14ac:dyDescent="0.25">
      <c r="A32" s="397" t="s">
        <v>140</v>
      </c>
      <c r="B32" s="398">
        <f t="shared" ref="B32:N32" si="32">B54+B33</f>
        <v>0</v>
      </c>
      <c r="C32" s="398">
        <f t="shared" si="32"/>
        <v>0</v>
      </c>
      <c r="D32" s="398">
        <f t="shared" si="32"/>
        <v>0</v>
      </c>
      <c r="E32" s="374">
        <f t="shared" si="32"/>
        <v>0</v>
      </c>
      <c r="F32" s="398">
        <f t="shared" si="32"/>
        <v>0</v>
      </c>
      <c r="G32" s="398">
        <f t="shared" si="32"/>
        <v>0</v>
      </c>
      <c r="H32" s="398">
        <f t="shared" si="32"/>
        <v>0</v>
      </c>
      <c r="I32" s="398">
        <f t="shared" si="32"/>
        <v>0</v>
      </c>
      <c r="J32" s="398">
        <f t="shared" si="32"/>
        <v>0</v>
      </c>
      <c r="K32" s="398">
        <f t="shared" si="32"/>
        <v>0</v>
      </c>
      <c r="L32" s="398">
        <f t="shared" si="32"/>
        <v>0</v>
      </c>
      <c r="M32" s="398">
        <f t="shared" si="32"/>
        <v>0</v>
      </c>
      <c r="N32" s="398">
        <f t="shared" si="32"/>
        <v>0</v>
      </c>
      <c r="O32" s="398">
        <f>O33</f>
        <v>0</v>
      </c>
      <c r="P32" s="398">
        <f t="shared" ref="P32:AE32" si="33">P33</f>
        <v>0</v>
      </c>
      <c r="Q32" s="398">
        <f t="shared" si="33"/>
        <v>1392524.4</v>
      </c>
      <c r="R32" s="374">
        <f t="shared" si="33"/>
        <v>1392524.4</v>
      </c>
      <c r="S32" s="398">
        <f t="shared" si="33"/>
        <v>0</v>
      </c>
      <c r="T32" s="398">
        <f t="shared" si="33"/>
        <v>0</v>
      </c>
      <c r="U32" s="398">
        <f t="shared" si="33"/>
        <v>0</v>
      </c>
      <c r="V32" s="398">
        <f t="shared" si="33"/>
        <v>0</v>
      </c>
      <c r="W32" s="398">
        <f t="shared" si="33"/>
        <v>0</v>
      </c>
      <c r="X32" s="398">
        <f t="shared" si="33"/>
        <v>0</v>
      </c>
      <c r="Y32" s="398">
        <f t="shared" si="33"/>
        <v>0</v>
      </c>
      <c r="Z32" s="398">
        <f t="shared" si="33"/>
        <v>0</v>
      </c>
      <c r="AA32" s="398">
        <f t="shared" si="33"/>
        <v>0</v>
      </c>
      <c r="AB32" s="398">
        <f t="shared" si="33"/>
        <v>0</v>
      </c>
      <c r="AC32" s="398">
        <f t="shared" si="33"/>
        <v>0</v>
      </c>
      <c r="AD32" s="398">
        <f t="shared" si="33"/>
        <v>0</v>
      </c>
      <c r="AE32" s="374">
        <f t="shared" si="33"/>
        <v>0</v>
      </c>
      <c r="AF32" s="374">
        <f t="shared" si="29"/>
        <v>1392524.4</v>
      </c>
      <c r="AG32" s="379">
        <f>AG33</f>
        <v>1392524.4</v>
      </c>
      <c r="AH32" s="380">
        <f t="shared" si="21"/>
        <v>0</v>
      </c>
    </row>
    <row r="33" spans="1:34" ht="13.5" customHeight="1" x14ac:dyDescent="0.25">
      <c r="A33" s="399" t="s">
        <v>54</v>
      </c>
      <c r="B33" s="400"/>
      <c r="C33" s="400"/>
      <c r="D33" s="400"/>
      <c r="E33" s="383">
        <f t="shared" si="11"/>
        <v>0</v>
      </c>
      <c r="F33" s="400"/>
      <c r="G33" s="400"/>
      <c r="H33" s="400"/>
      <c r="I33" s="400"/>
      <c r="J33" s="400"/>
      <c r="K33" s="400"/>
      <c r="L33" s="400"/>
      <c r="M33" s="400"/>
      <c r="N33" s="400"/>
      <c r="O33" s="400"/>
      <c r="P33" s="400"/>
      <c r="Q33" s="400">
        <v>1392524.4</v>
      </c>
      <c r="R33" s="383">
        <f t="shared" ref="R33" si="34">F33+G33+H33+I33+J33+K33+L33+M33+N33+O33+P33+Q33</f>
        <v>1392524.4</v>
      </c>
      <c r="S33" s="400"/>
      <c r="T33" s="400"/>
      <c r="U33" s="400"/>
      <c r="V33" s="400"/>
      <c r="W33" s="400"/>
      <c r="X33" s="400"/>
      <c r="Y33" s="400"/>
      <c r="Z33" s="400"/>
      <c r="AA33" s="400"/>
      <c r="AB33" s="400"/>
      <c r="AC33" s="400"/>
      <c r="AD33" s="400"/>
      <c r="AE33" s="383">
        <f t="shared" si="7"/>
        <v>0</v>
      </c>
      <c r="AF33" s="383">
        <f t="shared" si="29"/>
        <v>1392524.4</v>
      </c>
      <c r="AG33" s="384">
        <f>AF13*1.2</f>
        <v>1392524.4</v>
      </c>
      <c r="AH33" s="385">
        <f t="shared" si="21"/>
        <v>0</v>
      </c>
    </row>
    <row r="34" spans="1:34" ht="13.5" customHeight="1" x14ac:dyDescent="0.25">
      <c r="A34" s="401" t="s">
        <v>182</v>
      </c>
      <c r="B34" s="402">
        <f t="shared" ref="B34:D34" si="35">B40+B35+B36+B37+B38+B39</f>
        <v>0</v>
      </c>
      <c r="C34" s="402">
        <f t="shared" si="35"/>
        <v>354792.26</v>
      </c>
      <c r="D34" s="402">
        <f t="shared" si="35"/>
        <v>0</v>
      </c>
      <c r="E34" s="403">
        <f t="shared" si="11"/>
        <v>354792.26</v>
      </c>
      <c r="F34" s="402">
        <f t="shared" ref="F34:N34" si="36">F40+F35+F36+F37+F38+F39</f>
        <v>0</v>
      </c>
      <c r="G34" s="402">
        <f t="shared" si="36"/>
        <v>0</v>
      </c>
      <c r="H34" s="402">
        <f t="shared" si="36"/>
        <v>0</v>
      </c>
      <c r="I34" s="402">
        <f t="shared" si="36"/>
        <v>0</v>
      </c>
      <c r="J34" s="402">
        <f t="shared" si="36"/>
        <v>0</v>
      </c>
      <c r="K34" s="402">
        <f t="shared" si="36"/>
        <v>0</v>
      </c>
      <c r="L34" s="402">
        <f>L40+L35+L36+L37+L38+L39</f>
        <v>2739999.6</v>
      </c>
      <c r="M34" s="402">
        <f t="shared" si="36"/>
        <v>888000</v>
      </c>
      <c r="N34" s="402">
        <f t="shared" si="36"/>
        <v>-498000</v>
      </c>
      <c r="O34" s="402">
        <f>O35+O36+O37+O38+O39</f>
        <v>270000</v>
      </c>
      <c r="P34" s="402">
        <f t="shared" ref="P34:AE34" si="37">P35+P36+P37+P38+P39</f>
        <v>0</v>
      </c>
      <c r="Q34" s="402">
        <f t="shared" si="37"/>
        <v>0</v>
      </c>
      <c r="R34" s="403">
        <f t="shared" si="37"/>
        <v>3399999.6</v>
      </c>
      <c r="S34" s="402">
        <f t="shared" si="37"/>
        <v>0</v>
      </c>
      <c r="T34" s="402">
        <f t="shared" si="37"/>
        <v>0</v>
      </c>
      <c r="U34" s="402">
        <f t="shared" si="37"/>
        <v>0</v>
      </c>
      <c r="V34" s="402">
        <f t="shared" si="37"/>
        <v>0</v>
      </c>
      <c r="W34" s="402">
        <f t="shared" si="37"/>
        <v>0</v>
      </c>
      <c r="X34" s="402">
        <f t="shared" si="37"/>
        <v>0</v>
      </c>
      <c r="Y34" s="402">
        <f t="shared" si="37"/>
        <v>0</v>
      </c>
      <c r="Z34" s="402">
        <f t="shared" si="37"/>
        <v>0</v>
      </c>
      <c r="AA34" s="402">
        <f t="shared" si="37"/>
        <v>0</v>
      </c>
      <c r="AB34" s="402">
        <f t="shared" si="37"/>
        <v>0</v>
      </c>
      <c r="AC34" s="402">
        <f t="shared" si="37"/>
        <v>0</v>
      </c>
      <c r="AD34" s="402">
        <f t="shared" si="37"/>
        <v>0</v>
      </c>
      <c r="AE34" s="403">
        <f t="shared" si="37"/>
        <v>0</v>
      </c>
      <c r="AF34" s="403">
        <f t="shared" si="29"/>
        <v>3754791.8600000003</v>
      </c>
      <c r="AG34" s="379">
        <f>AG35+AG36+AG37+AG38+AG39+AG40</f>
        <v>3754791.852</v>
      </c>
      <c r="AH34" s="380">
        <f t="shared" si="21"/>
        <v>-8.0000003799796104E-3</v>
      </c>
    </row>
    <row r="35" spans="1:34" ht="13.5" customHeight="1" x14ac:dyDescent="0.25">
      <c r="A35" s="404" t="s">
        <v>183</v>
      </c>
      <c r="B35" s="405"/>
      <c r="C35" s="405">
        <f>141916.9+212875.36</f>
        <v>354792.26</v>
      </c>
      <c r="D35" s="405"/>
      <c r="E35" s="383">
        <f t="shared" si="11"/>
        <v>354792.26</v>
      </c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383">
        <f t="shared" ref="R35:R42" si="38">F35+G35+H35+I35+J35+K35+L35+M35+N35+O35+P35+Q35</f>
        <v>0</v>
      </c>
      <c r="S35" s="405"/>
      <c r="T35" s="405"/>
      <c r="U35" s="405"/>
      <c r="V35" s="405"/>
      <c r="W35" s="405"/>
      <c r="X35" s="405"/>
      <c r="Y35" s="405"/>
      <c r="Z35" s="405"/>
      <c r="AA35" s="405"/>
      <c r="AB35" s="405"/>
      <c r="AC35" s="405"/>
      <c r="AD35" s="405"/>
      <c r="AE35" s="383">
        <f t="shared" ref="AE35:AE42" si="39">S35+T35+U35+V35+W35+X35+Y35+Z35+AA35+AB35+AC35+AD35</f>
        <v>0</v>
      </c>
      <c r="AF35" s="383">
        <f t="shared" si="29"/>
        <v>354792.26</v>
      </c>
      <c r="AG35" s="384">
        <f>AF15*1.18</f>
        <v>354792.25200000004</v>
      </c>
      <c r="AH35" s="385">
        <f t="shared" si="21"/>
        <v>-7.999999972525984E-3</v>
      </c>
    </row>
    <row r="36" spans="1:34" ht="13.5" customHeight="1" x14ac:dyDescent="0.25">
      <c r="A36" s="404" t="s">
        <v>184</v>
      </c>
      <c r="B36" s="405"/>
      <c r="C36" s="405"/>
      <c r="D36" s="405"/>
      <c r="E36" s="383">
        <f t="shared" si="11"/>
        <v>0</v>
      </c>
      <c r="F36" s="405"/>
      <c r="G36" s="405"/>
      <c r="H36" s="405"/>
      <c r="I36" s="405"/>
      <c r="J36" s="405"/>
      <c r="K36" s="405"/>
      <c r="L36" s="405">
        <v>2139999.6</v>
      </c>
      <c r="M36" s="405"/>
      <c r="N36" s="405"/>
      <c r="O36" s="405"/>
      <c r="P36" s="405"/>
      <c r="Q36" s="405"/>
      <c r="R36" s="383">
        <f t="shared" si="38"/>
        <v>2139999.6</v>
      </c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383">
        <f t="shared" si="39"/>
        <v>0</v>
      </c>
      <c r="AF36" s="383">
        <f t="shared" si="29"/>
        <v>2139999.6</v>
      </c>
      <c r="AG36" s="384">
        <f>AF16*1.2</f>
        <v>2139999.6</v>
      </c>
      <c r="AH36" s="385">
        <f t="shared" si="21"/>
        <v>0</v>
      </c>
    </row>
    <row r="37" spans="1:34" ht="13.5" customHeight="1" x14ac:dyDescent="0.25">
      <c r="A37" s="404" t="s">
        <v>185</v>
      </c>
      <c r="B37" s="405"/>
      <c r="C37" s="405"/>
      <c r="D37" s="405"/>
      <c r="E37" s="383">
        <f t="shared" si="11"/>
        <v>0</v>
      </c>
      <c r="F37" s="405"/>
      <c r="G37" s="405"/>
      <c r="H37" s="405"/>
      <c r="I37" s="405"/>
      <c r="J37" s="405"/>
      <c r="K37" s="405"/>
      <c r="L37" s="405">
        <v>120000</v>
      </c>
      <c r="M37" s="405">
        <v>330000</v>
      </c>
      <c r="N37" s="405"/>
      <c r="O37" s="405">
        <v>90000</v>
      </c>
      <c r="P37" s="405"/>
      <c r="Q37" s="405"/>
      <c r="R37" s="383">
        <f t="shared" si="38"/>
        <v>540000</v>
      </c>
      <c r="S37" s="405"/>
      <c r="T37" s="405"/>
      <c r="U37" s="405"/>
      <c r="V37" s="405"/>
      <c r="W37" s="405"/>
      <c r="X37" s="405"/>
      <c r="Y37" s="405"/>
      <c r="Z37" s="405"/>
      <c r="AA37" s="405"/>
      <c r="AB37" s="405"/>
      <c r="AC37" s="405"/>
      <c r="AD37" s="405"/>
      <c r="AE37" s="383">
        <f t="shared" si="39"/>
        <v>0</v>
      </c>
      <c r="AF37" s="383">
        <f t="shared" si="29"/>
        <v>540000</v>
      </c>
      <c r="AG37" s="384">
        <f>AF17*1.2</f>
        <v>540000</v>
      </c>
      <c r="AH37" s="385">
        <f t="shared" si="21"/>
        <v>0</v>
      </c>
    </row>
    <row r="38" spans="1:34" ht="13.5" customHeight="1" x14ac:dyDescent="0.25">
      <c r="A38" s="404" t="s">
        <v>186</v>
      </c>
      <c r="B38" s="405"/>
      <c r="C38" s="405"/>
      <c r="D38" s="405"/>
      <c r="E38" s="383">
        <f t="shared" si="11"/>
        <v>0</v>
      </c>
      <c r="F38" s="405"/>
      <c r="G38" s="405"/>
      <c r="H38" s="405"/>
      <c r="I38" s="405"/>
      <c r="J38" s="405"/>
      <c r="K38" s="405"/>
      <c r="L38" s="405">
        <v>120000</v>
      </c>
      <c r="M38" s="405">
        <v>330000</v>
      </c>
      <c r="N38" s="405"/>
      <c r="O38" s="405">
        <v>90000</v>
      </c>
      <c r="P38" s="405"/>
      <c r="Q38" s="405"/>
      <c r="R38" s="383">
        <f t="shared" si="38"/>
        <v>540000</v>
      </c>
      <c r="S38" s="405"/>
      <c r="T38" s="405"/>
      <c r="U38" s="405"/>
      <c r="V38" s="405"/>
      <c r="W38" s="405"/>
      <c r="X38" s="405"/>
      <c r="Y38" s="405"/>
      <c r="Z38" s="405"/>
      <c r="AA38" s="405"/>
      <c r="AB38" s="405"/>
      <c r="AC38" s="405"/>
      <c r="AD38" s="405"/>
      <c r="AE38" s="383">
        <f t="shared" si="39"/>
        <v>0</v>
      </c>
      <c r="AF38" s="383">
        <f t="shared" si="29"/>
        <v>540000</v>
      </c>
      <c r="AG38" s="384">
        <f>AF18*1.2</f>
        <v>540000</v>
      </c>
      <c r="AH38" s="385">
        <f t="shared" si="21"/>
        <v>0</v>
      </c>
    </row>
    <row r="39" spans="1:34" ht="13.5" customHeight="1" x14ac:dyDescent="0.25">
      <c r="A39" s="404" t="s">
        <v>187</v>
      </c>
      <c r="B39" s="405"/>
      <c r="C39" s="405"/>
      <c r="D39" s="405"/>
      <c r="E39" s="383">
        <f t="shared" si="11"/>
        <v>0</v>
      </c>
      <c r="F39" s="405"/>
      <c r="G39" s="405"/>
      <c r="H39" s="405"/>
      <c r="I39" s="405"/>
      <c r="J39" s="405"/>
      <c r="K39" s="405"/>
      <c r="L39" s="405">
        <v>90000</v>
      </c>
      <c r="M39" s="405"/>
      <c r="N39" s="405"/>
      <c r="O39" s="405">
        <v>90000</v>
      </c>
      <c r="P39" s="405"/>
      <c r="Q39" s="405"/>
      <c r="R39" s="383">
        <f t="shared" si="38"/>
        <v>180000</v>
      </c>
      <c r="S39" s="405"/>
      <c r="T39" s="405"/>
      <c r="U39" s="405"/>
      <c r="V39" s="405"/>
      <c r="W39" s="405"/>
      <c r="X39" s="405"/>
      <c r="Y39" s="405"/>
      <c r="Z39" s="405"/>
      <c r="AA39" s="405"/>
      <c r="AB39" s="405"/>
      <c r="AC39" s="405"/>
      <c r="AD39" s="405"/>
      <c r="AE39" s="383">
        <f t="shared" si="39"/>
        <v>0</v>
      </c>
      <c r="AF39" s="383">
        <f t="shared" si="29"/>
        <v>180000</v>
      </c>
      <c r="AG39" s="384">
        <f>AF19*1.2</f>
        <v>180000</v>
      </c>
      <c r="AH39" s="385">
        <f t="shared" si="21"/>
        <v>0</v>
      </c>
    </row>
    <row r="40" spans="1:34" ht="13.5" customHeight="1" x14ac:dyDescent="0.25">
      <c r="A40" s="404" t="s">
        <v>188</v>
      </c>
      <c r="B40" s="405"/>
      <c r="C40" s="405"/>
      <c r="D40" s="405"/>
      <c r="E40" s="383">
        <f t="shared" si="11"/>
        <v>0</v>
      </c>
      <c r="F40" s="405"/>
      <c r="G40" s="405"/>
      <c r="H40" s="405"/>
      <c r="I40" s="405"/>
      <c r="J40" s="405"/>
      <c r="K40" s="405"/>
      <c r="L40" s="405">
        <v>270000</v>
      </c>
      <c r="M40" s="405">
        <v>228000</v>
      </c>
      <c r="N40" s="405">
        <f>-L40-M40</f>
        <v>-498000</v>
      </c>
      <c r="O40" s="405"/>
      <c r="P40" s="405"/>
      <c r="Q40" s="405"/>
      <c r="R40" s="383">
        <f t="shared" si="38"/>
        <v>0</v>
      </c>
      <c r="S40" s="405"/>
      <c r="T40" s="405"/>
      <c r="U40" s="405"/>
      <c r="V40" s="405"/>
      <c r="W40" s="405"/>
      <c r="X40" s="405"/>
      <c r="Y40" s="405"/>
      <c r="Z40" s="405"/>
      <c r="AA40" s="405"/>
      <c r="AB40" s="405"/>
      <c r="AC40" s="405"/>
      <c r="AD40" s="405"/>
      <c r="AE40" s="383">
        <f t="shared" si="39"/>
        <v>0</v>
      </c>
      <c r="AF40" s="383">
        <f t="shared" si="29"/>
        <v>0</v>
      </c>
      <c r="AG40" s="384">
        <f>AF20*1.2</f>
        <v>0</v>
      </c>
      <c r="AH40" s="385">
        <f t="shared" si="21"/>
        <v>0</v>
      </c>
    </row>
    <row r="41" spans="1:34" ht="13.5" customHeight="1" x14ac:dyDescent="0.25">
      <c r="A41" s="401" t="s">
        <v>182</v>
      </c>
      <c r="B41" s="402">
        <f>B42</f>
        <v>0</v>
      </c>
      <c r="C41" s="402">
        <f t="shared" ref="C41:D41" si="40">C42</f>
        <v>0</v>
      </c>
      <c r="D41" s="402">
        <f t="shared" si="40"/>
        <v>0</v>
      </c>
      <c r="E41" s="374">
        <f t="shared" si="11"/>
        <v>0</v>
      </c>
      <c r="F41" s="402">
        <f>F42</f>
        <v>0</v>
      </c>
      <c r="G41" s="402">
        <f t="shared" ref="G41:Q41" si="41">G42</f>
        <v>0</v>
      </c>
      <c r="H41" s="402">
        <f t="shared" si="41"/>
        <v>0</v>
      </c>
      <c r="I41" s="402">
        <f t="shared" si="41"/>
        <v>0</v>
      </c>
      <c r="J41" s="402">
        <f t="shared" si="41"/>
        <v>0</v>
      </c>
      <c r="K41" s="402">
        <f t="shared" si="41"/>
        <v>454542</v>
      </c>
      <c r="L41" s="402">
        <f t="shared" si="41"/>
        <v>0</v>
      </c>
      <c r="M41" s="402">
        <f t="shared" si="41"/>
        <v>256080</v>
      </c>
      <c r="N41" s="402">
        <f t="shared" si="41"/>
        <v>0</v>
      </c>
      <c r="O41" s="402">
        <f t="shared" si="41"/>
        <v>99231</v>
      </c>
      <c r="P41" s="402">
        <f t="shared" si="41"/>
        <v>0</v>
      </c>
      <c r="Q41" s="402">
        <f t="shared" si="41"/>
        <v>154992</v>
      </c>
      <c r="R41" s="374">
        <f t="shared" si="38"/>
        <v>964845</v>
      </c>
      <c r="S41" s="402">
        <f t="shared" ref="S41:AD41" si="42">S42</f>
        <v>0</v>
      </c>
      <c r="T41" s="402">
        <f t="shared" si="42"/>
        <v>0</v>
      </c>
      <c r="U41" s="402">
        <f t="shared" si="42"/>
        <v>0</v>
      </c>
      <c r="V41" s="402">
        <f t="shared" si="42"/>
        <v>0</v>
      </c>
      <c r="W41" s="402">
        <f t="shared" si="42"/>
        <v>0</v>
      </c>
      <c r="X41" s="402">
        <f t="shared" si="42"/>
        <v>0</v>
      </c>
      <c r="Y41" s="402">
        <f t="shared" si="42"/>
        <v>0</v>
      </c>
      <c r="Z41" s="402">
        <f t="shared" si="42"/>
        <v>0</v>
      </c>
      <c r="AA41" s="402">
        <f t="shared" si="42"/>
        <v>0</v>
      </c>
      <c r="AB41" s="402">
        <f t="shared" si="42"/>
        <v>0</v>
      </c>
      <c r="AC41" s="402">
        <f t="shared" si="42"/>
        <v>0</v>
      </c>
      <c r="AD41" s="402">
        <f t="shared" si="42"/>
        <v>62175</v>
      </c>
      <c r="AE41" s="374">
        <f t="shared" si="39"/>
        <v>62175</v>
      </c>
      <c r="AF41" s="374">
        <f t="shared" si="29"/>
        <v>1027020</v>
      </c>
      <c r="AG41" s="379">
        <f>AG42</f>
        <v>1027020</v>
      </c>
      <c r="AH41" s="380">
        <f t="shared" si="21"/>
        <v>0</v>
      </c>
    </row>
    <row r="42" spans="1:34" ht="13.5" customHeight="1" x14ac:dyDescent="0.25">
      <c r="A42" s="404" t="s">
        <v>127</v>
      </c>
      <c r="B42" s="405"/>
      <c r="C42" s="405"/>
      <c r="D42" s="405"/>
      <c r="E42" s="383"/>
      <c r="F42" s="405"/>
      <c r="G42" s="405"/>
      <c r="H42" s="405"/>
      <c r="I42" s="405"/>
      <c r="J42" s="405"/>
      <c r="K42" s="405">
        <v>454542</v>
      </c>
      <c r="L42" s="405"/>
      <c r="M42" s="405">
        <v>256080</v>
      </c>
      <c r="N42" s="405"/>
      <c r="O42" s="405">
        <v>99231</v>
      </c>
      <c r="P42" s="405"/>
      <c r="Q42" s="405">
        <v>154992</v>
      </c>
      <c r="R42" s="383">
        <f t="shared" si="38"/>
        <v>964845</v>
      </c>
      <c r="S42" s="405"/>
      <c r="T42" s="405"/>
      <c r="U42" s="405"/>
      <c r="V42" s="405"/>
      <c r="W42" s="405"/>
      <c r="X42" s="405"/>
      <c r="Y42" s="405"/>
      <c r="Z42" s="405"/>
      <c r="AA42" s="405"/>
      <c r="AB42" s="405"/>
      <c r="AC42" s="405"/>
      <c r="AD42" s="405">
        <v>62175</v>
      </c>
      <c r="AE42" s="383">
        <f t="shared" si="39"/>
        <v>62175</v>
      </c>
      <c r="AF42" s="383">
        <f t="shared" si="29"/>
        <v>1027020</v>
      </c>
      <c r="AG42" s="384">
        <f>AF22*1.2</f>
        <v>1027020</v>
      </c>
      <c r="AH42" s="385">
        <f t="shared" si="21"/>
        <v>0</v>
      </c>
    </row>
    <row r="45" spans="1:34" ht="13.5" customHeight="1" x14ac:dyDescent="0.25">
      <c r="A45" s="365">
        <v>20</v>
      </c>
      <c r="B45" s="369" t="s">
        <v>33</v>
      </c>
      <c r="C45" s="369" t="s">
        <v>34</v>
      </c>
      <c r="D45" s="369" t="s">
        <v>35</v>
      </c>
      <c r="E45" s="370"/>
      <c r="F45" s="369" t="s">
        <v>24</v>
      </c>
      <c r="G45" s="369" t="s">
        <v>25</v>
      </c>
      <c r="H45" s="369" t="s">
        <v>26</v>
      </c>
      <c r="I45" s="369" t="s">
        <v>27</v>
      </c>
      <c r="J45" s="369" t="s">
        <v>28</v>
      </c>
      <c r="K45" s="369" t="s">
        <v>29</v>
      </c>
      <c r="L45" s="369" t="s">
        <v>30</v>
      </c>
      <c r="M45" s="369" t="s">
        <v>31</v>
      </c>
      <c r="N45" s="369" t="s">
        <v>32</v>
      </c>
      <c r="O45" s="369" t="s">
        <v>33</v>
      </c>
      <c r="P45" s="369" t="s">
        <v>34</v>
      </c>
      <c r="Q45" s="369" t="s">
        <v>35</v>
      </c>
      <c r="R45" s="370"/>
      <c r="S45" s="369" t="s">
        <v>24</v>
      </c>
      <c r="T45" s="369" t="s">
        <v>25</v>
      </c>
      <c r="U45" s="369" t="s">
        <v>26</v>
      </c>
      <c r="V45" s="369" t="s">
        <v>27</v>
      </c>
      <c r="W45" s="369" t="s">
        <v>28</v>
      </c>
      <c r="X45" s="369" t="s">
        <v>29</v>
      </c>
      <c r="Y45" s="369" t="s">
        <v>30</v>
      </c>
      <c r="Z45" s="369" t="s">
        <v>31</v>
      </c>
      <c r="AA45" s="369" t="s">
        <v>32</v>
      </c>
      <c r="AB45" s="369" t="s">
        <v>33</v>
      </c>
      <c r="AC45" s="369" t="s">
        <v>34</v>
      </c>
      <c r="AD45" s="369" t="s">
        <v>35</v>
      </c>
      <c r="AE45" s="370"/>
      <c r="AF45" s="370" t="s">
        <v>175</v>
      </c>
      <c r="AG45" s="371"/>
      <c r="AH45" s="372"/>
    </row>
    <row r="46" spans="1:34" ht="13.5" customHeight="1" x14ac:dyDescent="0.25">
      <c r="A46" s="365" t="s">
        <v>189</v>
      </c>
      <c r="B46" s="373">
        <f>B47+B49</f>
        <v>0</v>
      </c>
      <c r="C46" s="373">
        <f t="shared" ref="C46:AF46" si="43">C47+C49</f>
        <v>0</v>
      </c>
      <c r="D46" s="373">
        <f t="shared" si="43"/>
        <v>0</v>
      </c>
      <c r="E46" s="373">
        <f t="shared" si="43"/>
        <v>0</v>
      </c>
      <c r="F46" s="373">
        <f t="shared" si="43"/>
        <v>0</v>
      </c>
      <c r="G46" s="373">
        <f t="shared" si="43"/>
        <v>0</v>
      </c>
      <c r="H46" s="373">
        <f t="shared" si="43"/>
        <v>0</v>
      </c>
      <c r="I46" s="373">
        <f t="shared" si="43"/>
        <v>0</v>
      </c>
      <c r="J46" s="373">
        <f t="shared" si="43"/>
        <v>0</v>
      </c>
      <c r="K46" s="373">
        <f t="shared" si="43"/>
        <v>0</v>
      </c>
      <c r="L46" s="373">
        <f t="shared" si="43"/>
        <v>0</v>
      </c>
      <c r="M46" s="373">
        <f t="shared" si="43"/>
        <v>0</v>
      </c>
      <c r="N46" s="373">
        <f t="shared" si="43"/>
        <v>0</v>
      </c>
      <c r="O46" s="373">
        <f t="shared" si="43"/>
        <v>4110668</v>
      </c>
      <c r="P46" s="373">
        <f t="shared" si="43"/>
        <v>0</v>
      </c>
      <c r="Q46" s="373">
        <f t="shared" si="43"/>
        <v>0</v>
      </c>
      <c r="R46" s="374">
        <f t="shared" si="43"/>
        <v>4110668</v>
      </c>
      <c r="S46" s="373">
        <f t="shared" si="43"/>
        <v>700000</v>
      </c>
      <c r="T46" s="373">
        <f t="shared" si="43"/>
        <v>0</v>
      </c>
      <c r="U46" s="373">
        <f t="shared" si="43"/>
        <v>0</v>
      </c>
      <c r="V46" s="373">
        <f t="shared" si="43"/>
        <v>0</v>
      </c>
      <c r="W46" s="373">
        <f t="shared" si="43"/>
        <v>0</v>
      </c>
      <c r="X46" s="373">
        <f t="shared" si="43"/>
        <v>0</v>
      </c>
      <c r="Y46" s="373">
        <f t="shared" si="43"/>
        <v>0</v>
      </c>
      <c r="Z46" s="373">
        <f t="shared" si="43"/>
        <v>0</v>
      </c>
      <c r="AA46" s="373">
        <f t="shared" si="43"/>
        <v>0</v>
      </c>
      <c r="AB46" s="373">
        <f t="shared" si="43"/>
        <v>0</v>
      </c>
      <c r="AC46" s="373">
        <f t="shared" si="43"/>
        <v>0</v>
      </c>
      <c r="AD46" s="373">
        <f t="shared" si="43"/>
        <v>0</v>
      </c>
      <c r="AE46" s="374">
        <f t="shared" si="43"/>
        <v>700000</v>
      </c>
      <c r="AF46" s="373">
        <f t="shared" si="43"/>
        <v>4810668</v>
      </c>
      <c r="AG46" s="375"/>
      <c r="AH46" s="376"/>
    </row>
    <row r="47" spans="1:34" ht="13.5" customHeight="1" x14ac:dyDescent="0.25">
      <c r="A47" s="397" t="s">
        <v>140</v>
      </c>
      <c r="B47" s="398">
        <f>B48</f>
        <v>0</v>
      </c>
      <c r="C47" s="398">
        <f t="shared" ref="C47:AE47" si="44">C48</f>
        <v>0</v>
      </c>
      <c r="D47" s="398">
        <f t="shared" si="44"/>
        <v>0</v>
      </c>
      <c r="E47" s="398">
        <f t="shared" si="44"/>
        <v>0</v>
      </c>
      <c r="F47" s="398">
        <f t="shared" si="44"/>
        <v>0</v>
      </c>
      <c r="G47" s="398">
        <f t="shared" si="44"/>
        <v>0</v>
      </c>
      <c r="H47" s="398">
        <f t="shared" si="44"/>
        <v>0</v>
      </c>
      <c r="I47" s="398">
        <f t="shared" si="44"/>
        <v>0</v>
      </c>
      <c r="J47" s="398">
        <f t="shared" si="44"/>
        <v>0</v>
      </c>
      <c r="K47" s="398">
        <f t="shared" si="44"/>
        <v>0</v>
      </c>
      <c r="L47" s="398">
        <f t="shared" si="44"/>
        <v>0</v>
      </c>
      <c r="M47" s="398">
        <f t="shared" si="44"/>
        <v>0</v>
      </c>
      <c r="N47" s="398">
        <f t="shared" si="44"/>
        <v>0</v>
      </c>
      <c r="O47" s="398">
        <f t="shared" si="44"/>
        <v>3660668</v>
      </c>
      <c r="P47" s="398">
        <f t="shared" si="44"/>
        <v>0</v>
      </c>
      <c r="Q47" s="398">
        <f t="shared" si="44"/>
        <v>0</v>
      </c>
      <c r="R47" s="398">
        <f t="shared" si="44"/>
        <v>3660668</v>
      </c>
      <c r="S47" s="398">
        <f t="shared" si="44"/>
        <v>0</v>
      </c>
      <c r="T47" s="398">
        <f t="shared" si="44"/>
        <v>0</v>
      </c>
      <c r="U47" s="398">
        <f t="shared" si="44"/>
        <v>0</v>
      </c>
      <c r="V47" s="398">
        <f t="shared" si="44"/>
        <v>0</v>
      </c>
      <c r="W47" s="398">
        <f t="shared" si="44"/>
        <v>0</v>
      </c>
      <c r="X47" s="398">
        <f t="shared" si="44"/>
        <v>0</v>
      </c>
      <c r="Y47" s="398">
        <f t="shared" si="44"/>
        <v>0</v>
      </c>
      <c r="Z47" s="398">
        <f t="shared" si="44"/>
        <v>0</v>
      </c>
      <c r="AA47" s="398">
        <f t="shared" si="44"/>
        <v>0</v>
      </c>
      <c r="AB47" s="398">
        <f t="shared" si="44"/>
        <v>0</v>
      </c>
      <c r="AC47" s="398">
        <f t="shared" si="44"/>
        <v>0</v>
      </c>
      <c r="AD47" s="398">
        <f t="shared" si="44"/>
        <v>0</v>
      </c>
      <c r="AE47" s="398">
        <f t="shared" si="44"/>
        <v>0</v>
      </c>
      <c r="AF47" s="374">
        <f>E47+R47+AE47</f>
        <v>3660668</v>
      </c>
      <c r="AG47" s="379"/>
      <c r="AH47" s="380"/>
    </row>
    <row r="48" spans="1:34" ht="13.5" customHeight="1" x14ac:dyDescent="0.25">
      <c r="A48" s="399" t="s">
        <v>190</v>
      </c>
      <c r="B48" s="400"/>
      <c r="C48" s="400"/>
      <c r="D48" s="400"/>
      <c r="E48" s="383">
        <f>B48+C48+D48</f>
        <v>0</v>
      </c>
      <c r="F48" s="400"/>
      <c r="G48" s="400"/>
      <c r="H48" s="400"/>
      <c r="I48" s="400"/>
      <c r="J48" s="400"/>
      <c r="K48" s="400"/>
      <c r="L48" s="400"/>
      <c r="M48" s="400"/>
      <c r="N48" s="400"/>
      <c r="O48" s="400">
        <v>3660668</v>
      </c>
      <c r="P48" s="400"/>
      <c r="Q48" s="400"/>
      <c r="R48" s="383">
        <f>F48+G48+H48+I48+J48+K48+L48+M48+N48+O48+P48+Q48</f>
        <v>3660668</v>
      </c>
      <c r="S48" s="400"/>
      <c r="T48" s="400"/>
      <c r="U48" s="400"/>
      <c r="V48" s="400"/>
      <c r="W48" s="400"/>
      <c r="X48" s="400"/>
      <c r="Y48" s="400"/>
      <c r="Z48" s="400"/>
      <c r="AA48" s="400"/>
      <c r="AB48" s="400"/>
      <c r="AC48" s="400"/>
      <c r="AD48" s="400"/>
      <c r="AE48" s="383">
        <f>S48+T48+U48+V48+W48+X48+Y48+Z48+AA48+AB48+AC48+AD48</f>
        <v>0</v>
      </c>
      <c r="AF48" s="383">
        <f>E48+R48+AE48</f>
        <v>3660668</v>
      </c>
      <c r="AG48" s="384"/>
      <c r="AH48" s="385"/>
    </row>
    <row r="49" spans="1:34" ht="13.5" customHeight="1" x14ac:dyDescent="0.25">
      <c r="A49" s="401" t="s">
        <v>182</v>
      </c>
      <c r="B49" s="402">
        <f>B50</f>
        <v>0</v>
      </c>
      <c r="C49" s="402">
        <f t="shared" ref="C49:D49" si="45">C50</f>
        <v>0</v>
      </c>
      <c r="D49" s="402">
        <f t="shared" si="45"/>
        <v>0</v>
      </c>
      <c r="E49" s="374">
        <f t="shared" ref="E49:E51" si="46">B49+C49+D49</f>
        <v>0</v>
      </c>
      <c r="F49" s="402">
        <f>F50</f>
        <v>0</v>
      </c>
      <c r="G49" s="402">
        <f t="shared" ref="G49:Q49" si="47">G50</f>
        <v>0</v>
      </c>
      <c r="H49" s="402">
        <f t="shared" si="47"/>
        <v>0</v>
      </c>
      <c r="I49" s="402">
        <f t="shared" si="47"/>
        <v>0</v>
      </c>
      <c r="J49" s="402">
        <f t="shared" si="47"/>
        <v>0</v>
      </c>
      <c r="K49" s="402">
        <f t="shared" si="47"/>
        <v>0</v>
      </c>
      <c r="L49" s="402">
        <f t="shared" si="47"/>
        <v>0</v>
      </c>
      <c r="M49" s="402">
        <f t="shared" si="47"/>
        <v>0</v>
      </c>
      <c r="N49" s="402">
        <f t="shared" si="47"/>
        <v>0</v>
      </c>
      <c r="O49" s="402">
        <f t="shared" si="47"/>
        <v>450000</v>
      </c>
      <c r="P49" s="402">
        <f t="shared" si="47"/>
        <v>0</v>
      </c>
      <c r="Q49" s="402">
        <f t="shared" si="47"/>
        <v>0</v>
      </c>
      <c r="R49" s="374">
        <f t="shared" ref="R49:R51" si="48">F49+G49+H49+I49+J49+K49+L49+M49+N49+O49+P49+Q49</f>
        <v>450000</v>
      </c>
      <c r="S49" s="402">
        <f t="shared" ref="S49:AD49" si="49">S50</f>
        <v>700000</v>
      </c>
      <c r="T49" s="402">
        <f t="shared" si="49"/>
        <v>0</v>
      </c>
      <c r="U49" s="402">
        <f t="shared" si="49"/>
        <v>0</v>
      </c>
      <c r="V49" s="402">
        <f t="shared" si="49"/>
        <v>0</v>
      </c>
      <c r="W49" s="402">
        <f t="shared" si="49"/>
        <v>0</v>
      </c>
      <c r="X49" s="402">
        <f t="shared" si="49"/>
        <v>0</v>
      </c>
      <c r="Y49" s="402">
        <f t="shared" si="49"/>
        <v>0</v>
      </c>
      <c r="Z49" s="402">
        <f t="shared" si="49"/>
        <v>0</v>
      </c>
      <c r="AA49" s="402">
        <f t="shared" si="49"/>
        <v>0</v>
      </c>
      <c r="AB49" s="402">
        <f t="shared" si="49"/>
        <v>0</v>
      </c>
      <c r="AC49" s="402">
        <f t="shared" si="49"/>
        <v>0</v>
      </c>
      <c r="AD49" s="402">
        <f t="shared" si="49"/>
        <v>0</v>
      </c>
      <c r="AE49" s="374">
        <f t="shared" ref="AE49:AE51" si="50">S49+T49+U49+V49+W49+X49+Y49+Z49+AA49+AB49+AC49+AD49</f>
        <v>700000</v>
      </c>
      <c r="AF49" s="374">
        <f>E49+R49+AE49</f>
        <v>1150000</v>
      </c>
      <c r="AG49" s="379"/>
      <c r="AH49" s="380"/>
    </row>
    <row r="50" spans="1:34" ht="13.5" customHeight="1" x14ac:dyDescent="0.25">
      <c r="A50" s="404" t="s">
        <v>188</v>
      </c>
      <c r="B50" s="405"/>
      <c r="C50" s="405"/>
      <c r="D50" s="405"/>
      <c r="E50" s="383">
        <f t="shared" si="46"/>
        <v>0</v>
      </c>
      <c r="F50" s="405"/>
      <c r="G50" s="405"/>
      <c r="H50" s="405"/>
      <c r="I50" s="405"/>
      <c r="J50" s="405"/>
      <c r="K50" s="405"/>
      <c r="L50" s="405"/>
      <c r="M50" s="405"/>
      <c r="N50" s="405"/>
      <c r="O50" s="405">
        <v>450000</v>
      </c>
      <c r="P50" s="405"/>
      <c r="Q50" s="405"/>
      <c r="R50" s="383">
        <f t="shared" si="48"/>
        <v>450000</v>
      </c>
      <c r="S50" s="405">
        <v>700000</v>
      </c>
      <c r="T50" s="405"/>
      <c r="U50" s="405"/>
      <c r="V50" s="405"/>
      <c r="W50" s="405"/>
      <c r="X50" s="405"/>
      <c r="Y50" s="405"/>
      <c r="Z50" s="405"/>
      <c r="AA50" s="405"/>
      <c r="AB50" s="405"/>
      <c r="AC50" s="405"/>
      <c r="AD50" s="405"/>
      <c r="AE50" s="383">
        <f t="shared" si="50"/>
        <v>700000</v>
      </c>
      <c r="AF50" s="383">
        <f>E50+R50+AE50</f>
        <v>1150000</v>
      </c>
      <c r="AG50" s="384"/>
      <c r="AH50" s="385"/>
    </row>
    <row r="51" spans="1:34" ht="13.5" customHeight="1" x14ac:dyDescent="0.25">
      <c r="A51" s="365">
        <v>51</v>
      </c>
      <c r="B51" s="406"/>
      <c r="C51" s="406"/>
      <c r="D51" s="406"/>
      <c r="E51" s="383">
        <f t="shared" si="46"/>
        <v>0</v>
      </c>
      <c r="F51" s="406"/>
      <c r="G51" s="406"/>
      <c r="H51" s="406"/>
      <c r="I51" s="406"/>
      <c r="J51" s="406"/>
      <c r="K51" s="406"/>
      <c r="L51" s="406"/>
      <c r="M51" s="406"/>
      <c r="N51" s="406"/>
      <c r="O51" s="406"/>
      <c r="P51" s="406"/>
      <c r="Q51" s="406"/>
      <c r="R51" s="383">
        <f t="shared" si="48"/>
        <v>0</v>
      </c>
      <c r="S51" s="406"/>
      <c r="T51" s="406"/>
      <c r="U51" s="406"/>
      <c r="V51" s="406"/>
      <c r="W51" s="406"/>
      <c r="X51" s="406"/>
      <c r="Y51" s="406"/>
      <c r="Z51" s="406"/>
      <c r="AA51" s="406"/>
      <c r="AB51" s="406"/>
      <c r="AC51" s="406"/>
      <c r="AD51" s="406"/>
      <c r="AE51" s="383">
        <f t="shared" si="50"/>
        <v>0</v>
      </c>
      <c r="AF51" s="383">
        <f>E51+R51+AE51</f>
        <v>0</v>
      </c>
      <c r="AG51" s="384"/>
      <c r="AH51" s="385"/>
    </row>
    <row r="52" spans="1:34" ht="13.5" customHeight="1" x14ac:dyDescent="0.25">
      <c r="A52" s="365" t="s">
        <v>189</v>
      </c>
      <c r="B52" s="373">
        <f>B53+B55</f>
        <v>0</v>
      </c>
      <c r="C52" s="373">
        <f t="shared" ref="C52:AF52" si="51">C53+C55</f>
        <v>0</v>
      </c>
      <c r="D52" s="373">
        <f t="shared" si="51"/>
        <v>0</v>
      </c>
      <c r="E52" s="373">
        <f t="shared" si="51"/>
        <v>0</v>
      </c>
      <c r="F52" s="373">
        <f t="shared" si="51"/>
        <v>0</v>
      </c>
      <c r="G52" s="373">
        <f t="shared" si="51"/>
        <v>0</v>
      </c>
      <c r="H52" s="373">
        <f t="shared" si="51"/>
        <v>0</v>
      </c>
      <c r="I52" s="373">
        <f t="shared" si="51"/>
        <v>0</v>
      </c>
      <c r="J52" s="373">
        <f t="shared" si="51"/>
        <v>0</v>
      </c>
      <c r="K52" s="373">
        <f t="shared" si="51"/>
        <v>0</v>
      </c>
      <c r="L52" s="373">
        <f t="shared" si="51"/>
        <v>270000</v>
      </c>
      <c r="M52" s="373">
        <f t="shared" si="51"/>
        <v>228000</v>
      </c>
      <c r="N52" s="373">
        <f t="shared" si="51"/>
        <v>0</v>
      </c>
      <c r="O52" s="373">
        <f t="shared" si="51"/>
        <v>4434801.5999999996</v>
      </c>
      <c r="P52" s="373">
        <f t="shared" si="51"/>
        <v>0</v>
      </c>
      <c r="Q52" s="373">
        <f t="shared" si="51"/>
        <v>0</v>
      </c>
      <c r="R52" s="374">
        <f t="shared" si="51"/>
        <v>4932801.5999999996</v>
      </c>
      <c r="S52" s="373">
        <f t="shared" si="51"/>
        <v>0</v>
      </c>
      <c r="T52" s="373">
        <f t="shared" si="51"/>
        <v>840000</v>
      </c>
      <c r="U52" s="373">
        <f t="shared" si="51"/>
        <v>0</v>
      </c>
      <c r="V52" s="373">
        <f t="shared" si="51"/>
        <v>0</v>
      </c>
      <c r="W52" s="373">
        <f t="shared" si="51"/>
        <v>0</v>
      </c>
      <c r="X52" s="373">
        <f t="shared" si="51"/>
        <v>0</v>
      </c>
      <c r="Y52" s="373">
        <f t="shared" si="51"/>
        <v>0</v>
      </c>
      <c r="Z52" s="373">
        <f t="shared" si="51"/>
        <v>0</v>
      </c>
      <c r="AA52" s="373">
        <f t="shared" si="51"/>
        <v>0</v>
      </c>
      <c r="AB52" s="373">
        <f t="shared" si="51"/>
        <v>0</v>
      </c>
      <c r="AC52" s="373">
        <f t="shared" si="51"/>
        <v>0</v>
      </c>
      <c r="AD52" s="373">
        <f t="shared" si="51"/>
        <v>0</v>
      </c>
      <c r="AE52" s="374">
        <f t="shared" si="51"/>
        <v>840000</v>
      </c>
      <c r="AF52" s="373">
        <f t="shared" si="51"/>
        <v>5772801.5999999996</v>
      </c>
      <c r="AG52" s="375"/>
      <c r="AH52" s="376"/>
    </row>
    <row r="53" spans="1:34" ht="13.5" customHeight="1" x14ac:dyDescent="0.25">
      <c r="A53" s="397" t="s">
        <v>140</v>
      </c>
      <c r="B53" s="398">
        <f>B54</f>
        <v>0</v>
      </c>
      <c r="C53" s="398">
        <f t="shared" ref="C53:AE53" si="52">C54</f>
        <v>0</v>
      </c>
      <c r="D53" s="398">
        <f t="shared" si="52"/>
        <v>0</v>
      </c>
      <c r="E53" s="398">
        <f t="shared" si="52"/>
        <v>0</v>
      </c>
      <c r="F53" s="398">
        <f t="shared" si="52"/>
        <v>0</v>
      </c>
      <c r="G53" s="398">
        <f t="shared" si="52"/>
        <v>0</v>
      </c>
      <c r="H53" s="398">
        <f t="shared" si="52"/>
        <v>0</v>
      </c>
      <c r="I53" s="398">
        <f t="shared" si="52"/>
        <v>0</v>
      </c>
      <c r="J53" s="398">
        <f t="shared" si="52"/>
        <v>0</v>
      </c>
      <c r="K53" s="398">
        <f t="shared" si="52"/>
        <v>0</v>
      </c>
      <c r="L53" s="398">
        <f t="shared" si="52"/>
        <v>0</v>
      </c>
      <c r="M53" s="398">
        <f t="shared" si="52"/>
        <v>0</v>
      </c>
      <c r="N53" s="398">
        <f t="shared" si="52"/>
        <v>0</v>
      </c>
      <c r="O53" s="398">
        <f t="shared" si="52"/>
        <v>4392801.5999999996</v>
      </c>
      <c r="P53" s="398">
        <f t="shared" si="52"/>
        <v>0</v>
      </c>
      <c r="Q53" s="398">
        <f t="shared" si="52"/>
        <v>0</v>
      </c>
      <c r="R53" s="398">
        <f t="shared" si="52"/>
        <v>4392801.5999999996</v>
      </c>
      <c r="S53" s="398">
        <f t="shared" si="52"/>
        <v>0</v>
      </c>
      <c r="T53" s="398">
        <f t="shared" si="52"/>
        <v>0</v>
      </c>
      <c r="U53" s="398">
        <f t="shared" si="52"/>
        <v>0</v>
      </c>
      <c r="V53" s="398">
        <f t="shared" si="52"/>
        <v>0</v>
      </c>
      <c r="W53" s="398">
        <f t="shared" si="52"/>
        <v>0</v>
      </c>
      <c r="X53" s="398">
        <f t="shared" si="52"/>
        <v>0</v>
      </c>
      <c r="Y53" s="398">
        <f t="shared" si="52"/>
        <v>0</v>
      </c>
      <c r="Z53" s="398">
        <f t="shared" si="52"/>
        <v>0</v>
      </c>
      <c r="AA53" s="398">
        <f t="shared" si="52"/>
        <v>0</v>
      </c>
      <c r="AB53" s="398">
        <f t="shared" si="52"/>
        <v>0</v>
      </c>
      <c r="AC53" s="398">
        <f t="shared" si="52"/>
        <v>0</v>
      </c>
      <c r="AD53" s="398">
        <f t="shared" si="52"/>
        <v>0</v>
      </c>
      <c r="AE53" s="398">
        <f t="shared" si="52"/>
        <v>0</v>
      </c>
      <c r="AF53" s="374">
        <f>E53+R53+AE53</f>
        <v>4392801.5999999996</v>
      </c>
      <c r="AG53" s="379"/>
      <c r="AH53" s="380"/>
    </row>
    <row r="54" spans="1:34" ht="13.5" customHeight="1" x14ac:dyDescent="0.25">
      <c r="A54" s="399" t="s">
        <v>190</v>
      </c>
      <c r="B54" s="400"/>
      <c r="C54" s="400"/>
      <c r="D54" s="400"/>
      <c r="E54" s="383">
        <f>B54+C54+D54</f>
        <v>0</v>
      </c>
      <c r="F54" s="400"/>
      <c r="G54" s="400"/>
      <c r="H54" s="400"/>
      <c r="I54" s="400"/>
      <c r="J54" s="400"/>
      <c r="K54" s="400"/>
      <c r="L54" s="400"/>
      <c r="M54" s="400"/>
      <c r="N54" s="400"/>
      <c r="O54" s="400">
        <v>4392801.5999999996</v>
      </c>
      <c r="P54" s="400"/>
      <c r="Q54" s="400"/>
      <c r="R54" s="383">
        <f>F54+G54+H54+I54+J54+K54+L54+M54+N54+O54+P54+Q54</f>
        <v>4392801.5999999996</v>
      </c>
      <c r="S54" s="400"/>
      <c r="T54" s="400"/>
      <c r="U54" s="400"/>
      <c r="V54" s="400"/>
      <c r="W54" s="400"/>
      <c r="X54" s="400"/>
      <c r="Y54" s="400"/>
      <c r="Z54" s="400"/>
      <c r="AA54" s="400"/>
      <c r="AB54" s="400"/>
      <c r="AC54" s="400"/>
      <c r="AD54" s="400"/>
      <c r="AE54" s="383">
        <f>S54+T54+U54+V54+W54+X54+Y54+Z54+AA54+AB54+AC54+AD54</f>
        <v>0</v>
      </c>
      <c r="AF54" s="383">
        <f>E54+R54+AE54</f>
        <v>4392801.5999999996</v>
      </c>
      <c r="AG54" s="384">
        <f>AF48*1.2</f>
        <v>4392801.5999999996</v>
      </c>
      <c r="AH54" s="385">
        <f>AG54-AF54</f>
        <v>0</v>
      </c>
    </row>
    <row r="55" spans="1:34" ht="13.5" customHeight="1" x14ac:dyDescent="0.25">
      <c r="A55" s="401" t="s">
        <v>182</v>
      </c>
      <c r="B55" s="402">
        <f>B56</f>
        <v>0</v>
      </c>
      <c r="C55" s="402">
        <f t="shared" ref="C55:D55" si="53">C56</f>
        <v>0</v>
      </c>
      <c r="D55" s="402">
        <f t="shared" si="53"/>
        <v>0</v>
      </c>
      <c r="E55" s="374">
        <f t="shared" ref="E55:E56" si="54">B55+C55+D55</f>
        <v>0</v>
      </c>
      <c r="F55" s="402">
        <f>F56</f>
        <v>0</v>
      </c>
      <c r="G55" s="402">
        <f t="shared" ref="G55:Q55" si="55">G56</f>
        <v>0</v>
      </c>
      <c r="H55" s="402">
        <f t="shared" si="55"/>
        <v>0</v>
      </c>
      <c r="I55" s="402">
        <f t="shared" si="55"/>
        <v>0</v>
      </c>
      <c r="J55" s="402">
        <f t="shared" si="55"/>
        <v>0</v>
      </c>
      <c r="K55" s="402">
        <f t="shared" si="55"/>
        <v>0</v>
      </c>
      <c r="L55" s="402">
        <f t="shared" si="55"/>
        <v>270000</v>
      </c>
      <c r="M55" s="402">
        <f t="shared" si="55"/>
        <v>228000</v>
      </c>
      <c r="N55" s="402">
        <f t="shared" si="55"/>
        <v>0</v>
      </c>
      <c r="O55" s="402">
        <f t="shared" si="55"/>
        <v>42000</v>
      </c>
      <c r="P55" s="402">
        <f t="shared" si="55"/>
        <v>0</v>
      </c>
      <c r="Q55" s="402">
        <f t="shared" si="55"/>
        <v>0</v>
      </c>
      <c r="R55" s="374">
        <f t="shared" ref="R55:R56" si="56">F55+G55+H55+I55+J55+K55+L55+M55+N55+O55+P55+Q55</f>
        <v>540000</v>
      </c>
      <c r="S55" s="402">
        <f t="shared" ref="S55:AD55" si="57">S56</f>
        <v>0</v>
      </c>
      <c r="T55" s="402">
        <f t="shared" si="57"/>
        <v>840000</v>
      </c>
      <c r="U55" s="402">
        <f t="shared" si="57"/>
        <v>0</v>
      </c>
      <c r="V55" s="402">
        <f t="shared" si="57"/>
        <v>0</v>
      </c>
      <c r="W55" s="402">
        <f t="shared" si="57"/>
        <v>0</v>
      </c>
      <c r="X55" s="402">
        <f t="shared" si="57"/>
        <v>0</v>
      </c>
      <c r="Y55" s="402">
        <f t="shared" si="57"/>
        <v>0</v>
      </c>
      <c r="Z55" s="402">
        <f t="shared" si="57"/>
        <v>0</v>
      </c>
      <c r="AA55" s="402">
        <f t="shared" si="57"/>
        <v>0</v>
      </c>
      <c r="AB55" s="402">
        <f t="shared" si="57"/>
        <v>0</v>
      </c>
      <c r="AC55" s="402">
        <f t="shared" si="57"/>
        <v>0</v>
      </c>
      <c r="AD55" s="402">
        <f t="shared" si="57"/>
        <v>0</v>
      </c>
      <c r="AE55" s="374">
        <f t="shared" ref="AE55:AE56" si="58">S55+T55+U55+V55+W55+X55+Y55+Z55+AA55+AB55+AC55+AD55</f>
        <v>840000</v>
      </c>
      <c r="AF55" s="374">
        <f>E55+R55+AE55</f>
        <v>1380000</v>
      </c>
      <c r="AG55" s="379">
        <f>AG56</f>
        <v>1380000</v>
      </c>
      <c r="AH55" s="380">
        <f>AG55-AF55</f>
        <v>0</v>
      </c>
    </row>
    <row r="56" spans="1:34" ht="13.5" customHeight="1" x14ac:dyDescent="0.25">
      <c r="A56" s="404" t="s">
        <v>188</v>
      </c>
      <c r="B56" s="405"/>
      <c r="C56" s="405"/>
      <c r="D56" s="405"/>
      <c r="E56" s="383">
        <f t="shared" si="54"/>
        <v>0</v>
      </c>
      <c r="F56" s="405"/>
      <c r="G56" s="405"/>
      <c r="H56" s="405"/>
      <c r="I56" s="405"/>
      <c r="J56" s="405"/>
      <c r="K56" s="405"/>
      <c r="L56" s="405">
        <v>270000</v>
      </c>
      <c r="M56" s="405">
        <v>228000</v>
      </c>
      <c r="N56" s="405"/>
      <c r="O56" s="405">
        <v>42000</v>
      </c>
      <c r="P56" s="405"/>
      <c r="Q56" s="405"/>
      <c r="R56" s="383">
        <f t="shared" si="56"/>
        <v>540000</v>
      </c>
      <c r="S56" s="405"/>
      <c r="T56" s="405">
        <v>840000</v>
      </c>
      <c r="U56" s="405"/>
      <c r="V56" s="405"/>
      <c r="W56" s="405"/>
      <c r="X56" s="405"/>
      <c r="Y56" s="405"/>
      <c r="Z56" s="405"/>
      <c r="AA56" s="405"/>
      <c r="AB56" s="405"/>
      <c r="AC56" s="405"/>
      <c r="AD56" s="405"/>
      <c r="AE56" s="383">
        <f t="shared" si="58"/>
        <v>840000</v>
      </c>
      <c r="AF56" s="383">
        <f>E56+R56+AE56</f>
        <v>1380000</v>
      </c>
      <c r="AG56" s="384">
        <f>AF50*1.2</f>
        <v>1380000</v>
      </c>
      <c r="AH56" s="385">
        <f>AG56-AF56</f>
        <v>0</v>
      </c>
    </row>
  </sheetData>
  <mergeCells count="3">
    <mergeCell ref="B1:D1"/>
    <mergeCell ref="F1:Q1"/>
    <mergeCell ref="S1:AD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График СМР</vt:lpstr>
      <vt:lpstr>Сух Лог_СЭС_ожид_2021</vt:lpstr>
      <vt:lpstr>Сух Лог_Суб_2021_план</vt:lpstr>
      <vt:lpstr>Сух Лог_ВЭ_2021_план</vt:lpstr>
      <vt:lpstr>Дяля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Козьмина Надежда Анатольевна</dc:creator>
  <cp:lastModifiedBy>Захарченко Дарья Сергеевна</cp:lastModifiedBy>
  <cp:lastPrinted>2022-02-16T02:27:26Z</cp:lastPrinted>
  <dcterms:created xsi:type="dcterms:W3CDTF">2019-07-18T01:32:13Z</dcterms:created>
  <dcterms:modified xsi:type="dcterms:W3CDTF">2022-02-16T02:28:16Z</dcterms:modified>
</cp:coreProperties>
</file>